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C:\Users\rawirih\Desktop\"/>
    </mc:Choice>
  </mc:AlternateContent>
  <xr:revisionPtr revIDLastSave="0" documentId="13_ncr:1_{06BE00DB-E138-46B3-89D1-66C3A49491B2}" xr6:coauthVersionLast="44" xr6:coauthVersionMax="44" xr10:uidLastSave="{00000000-0000-0000-0000-000000000000}"/>
  <bookViews>
    <workbookView xWindow="-120" yWindow="-120" windowWidth="29040" windowHeight="15840" xr2:uid="{00000000-000D-0000-FFFF-FFFF00000000}"/>
  </bookViews>
  <sheets>
    <sheet name="Guide" sheetId="4" r:id="rId1"/>
    <sheet name="Roster Calculator" sheetId="9" r:id="rId2"/>
    <sheet name="Shared Roster" sheetId="10" r:id="rId3"/>
    <sheet name="RDASly" sheetId="3" state="hidden" r:id="rId4"/>
    <sheet name="SToNZSly" sheetId="7" state="hidden" r:id="rId5"/>
    <sheet name="Reference" sheetId="2" state="hidden" r:id="rId6"/>
  </sheets>
  <definedNames>
    <definedName name="_xlnm.Print_Area" localSheetId="0">Guide!$B$1:$C$39</definedName>
    <definedName name="_xlnm.Print_Area" localSheetId="1">'Roster Calculator'!$A$1:$K$77</definedName>
    <definedName name="_xlnm.Print_Area" localSheetId="2">'Shared Roster'!$A$1:$L$91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9" l="1"/>
  <c r="I70" i="9"/>
  <c r="I71" i="9"/>
  <c r="D69" i="9"/>
  <c r="D70" i="9"/>
  <c r="D71" i="9"/>
  <c r="C69" i="9"/>
  <c r="C70" i="9"/>
  <c r="C71" i="9"/>
  <c r="J70" i="9" l="1"/>
  <c r="J69" i="9"/>
  <c r="E71" i="9"/>
  <c r="E69" i="9"/>
  <c r="J71" i="9"/>
  <c r="E70" i="9"/>
  <c r="I81" i="10"/>
  <c r="D81" i="10"/>
  <c r="C81" i="10"/>
  <c r="I67" i="9"/>
  <c r="C67" i="9"/>
  <c r="D67" i="9"/>
  <c r="I48" i="7" l="1"/>
  <c r="I47" i="7"/>
  <c r="I46" i="7"/>
  <c r="H46" i="7" s="1"/>
  <c r="G46" i="7" s="1"/>
  <c r="I45" i="7"/>
  <c r="H45" i="7" s="1"/>
  <c r="G45" i="7" s="1"/>
  <c r="I44" i="7"/>
  <c r="H44" i="7" s="1"/>
  <c r="G44" i="7" s="1"/>
  <c r="I43" i="7"/>
  <c r="H43" i="7" s="1"/>
  <c r="I42" i="7"/>
  <c r="H42" i="7" s="1"/>
  <c r="I41" i="7"/>
  <c r="H41" i="7" s="1"/>
  <c r="I40" i="7"/>
  <c r="H40" i="7" s="1"/>
  <c r="I39" i="7"/>
  <c r="H39" i="7" s="1"/>
  <c r="H48" i="7"/>
  <c r="G48" i="7" s="1"/>
  <c r="H47" i="7"/>
  <c r="G47" i="7" s="1"/>
  <c r="G43" i="7"/>
  <c r="G42" i="7"/>
  <c r="G41" i="7"/>
  <c r="G40" i="7"/>
  <c r="G39" i="7"/>
  <c r="F48" i="7"/>
  <c r="F47" i="7"/>
  <c r="F46" i="7"/>
  <c r="F45" i="7"/>
  <c r="F44" i="7"/>
  <c r="F43" i="7"/>
  <c r="F42" i="7"/>
  <c r="F41" i="7"/>
  <c r="F40" i="7"/>
  <c r="F39" i="7"/>
  <c r="E48" i="7"/>
  <c r="E47" i="7"/>
  <c r="E46" i="7"/>
  <c r="E45" i="7"/>
  <c r="E44" i="7"/>
  <c r="E43" i="7"/>
  <c r="E42" i="7"/>
  <c r="E41" i="7"/>
  <c r="E40" i="7"/>
  <c r="E39" i="7"/>
  <c r="D48" i="7"/>
  <c r="B46" i="7" s="1"/>
  <c r="D47" i="7"/>
  <c r="B45" i="7" s="1"/>
  <c r="D46" i="7"/>
  <c r="B44" i="7" s="1"/>
  <c r="D45" i="7"/>
  <c r="B43" i="7" s="1"/>
  <c r="D44" i="7"/>
  <c r="C43" i="7" s="1"/>
  <c r="D43" i="7"/>
  <c r="B41" i="7" s="1"/>
  <c r="D42" i="7"/>
  <c r="B40" i="7" s="1"/>
  <c r="D41" i="7"/>
  <c r="B39" i="7" s="1"/>
  <c r="D40" i="7"/>
  <c r="C39" i="7" s="1"/>
  <c r="D39" i="7"/>
  <c r="C48" i="7"/>
  <c r="H29" i="7"/>
  <c r="G29" i="7" s="1"/>
  <c r="I24" i="7"/>
  <c r="H24" i="7" s="1"/>
  <c r="I25" i="7"/>
  <c r="H25" i="7" s="1"/>
  <c r="I26" i="7"/>
  <c r="H26" i="7" s="1"/>
  <c r="I27" i="7"/>
  <c r="H27" i="7" s="1"/>
  <c r="I28" i="7"/>
  <c r="H28" i="7" s="1"/>
  <c r="I29" i="7"/>
  <c r="I30" i="7"/>
  <c r="H30" i="7" s="1"/>
  <c r="G30" i="7" s="1"/>
  <c r="I33" i="7"/>
  <c r="H33" i="7" s="1"/>
  <c r="G33" i="7" s="1"/>
  <c r="I32" i="7"/>
  <c r="H32" i="7" s="1"/>
  <c r="G32" i="7" s="1"/>
  <c r="I31" i="7"/>
  <c r="H31" i="7" s="1"/>
  <c r="G31" i="7" s="1"/>
  <c r="G28" i="7"/>
  <c r="G27" i="7"/>
  <c r="G26" i="7"/>
  <c r="G25" i="7"/>
  <c r="G24" i="7"/>
  <c r="F33" i="7"/>
  <c r="F32" i="7"/>
  <c r="F31" i="7"/>
  <c r="F30" i="7"/>
  <c r="F29" i="7"/>
  <c r="F28" i="7"/>
  <c r="F27" i="7"/>
  <c r="F26" i="7"/>
  <c r="F25" i="7"/>
  <c r="F24" i="7"/>
  <c r="E33" i="7"/>
  <c r="E32" i="7"/>
  <c r="E31" i="7"/>
  <c r="E30" i="7"/>
  <c r="E29" i="7"/>
  <c r="E28" i="7"/>
  <c r="E27" i="7"/>
  <c r="D85" i="10" s="1"/>
  <c r="E26" i="7"/>
  <c r="D84" i="10" s="1"/>
  <c r="E25" i="7"/>
  <c r="D83" i="10" s="1"/>
  <c r="E24" i="7"/>
  <c r="D82" i="10" s="1"/>
  <c r="D33" i="7"/>
  <c r="B31" i="7" s="1"/>
  <c r="B32" i="7" s="1"/>
  <c r="B33" i="7" s="1"/>
  <c r="D32" i="7"/>
  <c r="B30" i="7" s="1"/>
  <c r="D31" i="7"/>
  <c r="B29" i="7" s="1"/>
  <c r="D30" i="7"/>
  <c r="B28" i="7" s="1"/>
  <c r="D29" i="7"/>
  <c r="B27" i="7" s="1"/>
  <c r="D28" i="7"/>
  <c r="B26" i="7" s="1"/>
  <c r="D27" i="7"/>
  <c r="D26" i="7"/>
  <c r="D25" i="7"/>
  <c r="D24" i="7"/>
  <c r="H10" i="7"/>
  <c r="H9" i="7"/>
  <c r="H8" i="7"/>
  <c r="H7" i="7"/>
  <c r="I10" i="7"/>
  <c r="I9" i="7"/>
  <c r="I8" i="7"/>
  <c r="I7" i="7"/>
  <c r="G10" i="7"/>
  <c r="G9" i="7"/>
  <c r="G8" i="7"/>
  <c r="G7" i="7"/>
  <c r="F10" i="7"/>
  <c r="F9" i="7"/>
  <c r="F8" i="7"/>
  <c r="F7" i="7"/>
  <c r="E10" i="7"/>
  <c r="E9" i="7"/>
  <c r="E8" i="7"/>
  <c r="E7" i="7"/>
  <c r="D10" i="7"/>
  <c r="B8" i="7" s="1"/>
  <c r="D9" i="7"/>
  <c r="C8" i="7" s="1"/>
  <c r="D8" i="7"/>
  <c r="C7" i="7" s="1"/>
  <c r="D7" i="7"/>
  <c r="B18" i="7"/>
  <c r="C18" i="7"/>
  <c r="B17" i="7" s="1"/>
  <c r="C16" i="7"/>
  <c r="B15" i="7" s="1"/>
  <c r="C17" i="7"/>
  <c r="B16" i="7" s="1"/>
  <c r="C15" i="7"/>
  <c r="B7" i="7"/>
  <c r="I39" i="3"/>
  <c r="I84" i="10" l="1"/>
  <c r="B24" i="7"/>
  <c r="B25" i="7"/>
  <c r="I85" i="10"/>
  <c r="I83" i="10"/>
  <c r="J83" i="10" s="1"/>
  <c r="K83" i="10" s="1"/>
  <c r="C47" i="7"/>
  <c r="I82" i="10"/>
  <c r="D68" i="9"/>
  <c r="C41" i="7"/>
  <c r="C40" i="7"/>
  <c r="B42" i="7"/>
  <c r="C32" i="7"/>
  <c r="C46" i="7"/>
  <c r="C45" i="7"/>
  <c r="C44" i="7"/>
  <c r="C33" i="7"/>
  <c r="C42" i="7"/>
  <c r="C9" i="7"/>
  <c r="B10" i="7"/>
  <c r="C10" i="7"/>
  <c r="B9" i="7"/>
  <c r="B32" i="3"/>
  <c r="B33" i="3"/>
  <c r="B46" i="3"/>
  <c r="B47" i="3" s="1"/>
  <c r="B48" i="3" s="1"/>
  <c r="B42" i="3"/>
  <c r="B44" i="3"/>
  <c r="B39" i="3"/>
  <c r="C48" i="3"/>
  <c r="C41" i="3"/>
  <c r="C45" i="3"/>
  <c r="C46" i="3"/>
  <c r="C47" i="3"/>
  <c r="B25" i="3"/>
  <c r="C30" i="3"/>
  <c r="C31" i="3"/>
  <c r="B18" i="3"/>
  <c r="B17" i="3"/>
  <c r="C18" i="3"/>
  <c r="C17" i="3"/>
  <c r="B10" i="3"/>
  <c r="B9" i="3"/>
  <c r="B7" i="3"/>
  <c r="C9" i="3"/>
  <c r="C8" i="3"/>
  <c r="C7" i="3"/>
  <c r="D24" i="3"/>
  <c r="C82" i="10" s="1"/>
  <c r="I18" i="3"/>
  <c r="I17" i="3"/>
  <c r="I16" i="3"/>
  <c r="I15" i="3"/>
  <c r="H18" i="3"/>
  <c r="H17" i="3"/>
  <c r="H16" i="3"/>
  <c r="H15" i="3"/>
  <c r="G18" i="3"/>
  <c r="G17" i="3"/>
  <c r="G16" i="3"/>
  <c r="F18" i="3"/>
  <c r="F17" i="3"/>
  <c r="F15" i="3"/>
  <c r="E18" i="3"/>
  <c r="E17" i="3"/>
  <c r="E16" i="3"/>
  <c r="D18" i="3"/>
  <c r="B16" i="3" s="1"/>
  <c r="D17" i="3"/>
  <c r="B15" i="3" s="1"/>
  <c r="D16" i="3"/>
  <c r="C15" i="3" s="1"/>
  <c r="D15" i="3"/>
  <c r="I10" i="3"/>
  <c r="I9" i="3"/>
  <c r="I8" i="3"/>
  <c r="H10" i="3"/>
  <c r="H9" i="3"/>
  <c r="G10" i="3"/>
  <c r="G9" i="3"/>
  <c r="G8" i="3"/>
  <c r="F10" i="3"/>
  <c r="F9" i="3"/>
  <c r="F8" i="3"/>
  <c r="E10" i="3"/>
  <c r="E9" i="3"/>
  <c r="E8" i="3"/>
  <c r="D10" i="3"/>
  <c r="C10" i="3" s="1"/>
  <c r="I7" i="3"/>
  <c r="H7" i="3"/>
  <c r="G7" i="3"/>
  <c r="F7" i="3"/>
  <c r="E7" i="3"/>
  <c r="D7" i="3"/>
  <c r="B31" i="3"/>
  <c r="I48" i="3"/>
  <c r="I47" i="3"/>
  <c r="I46" i="3"/>
  <c r="I45" i="3"/>
  <c r="I44" i="3"/>
  <c r="I43" i="3"/>
  <c r="I42" i="3"/>
  <c r="I41" i="3"/>
  <c r="I40" i="3"/>
  <c r="H48" i="3"/>
  <c r="H47" i="3"/>
  <c r="H46" i="3"/>
  <c r="H45" i="3"/>
  <c r="H44" i="3"/>
  <c r="H43" i="3"/>
  <c r="H42" i="3"/>
  <c r="H41" i="3"/>
  <c r="H40" i="3"/>
  <c r="G48" i="3"/>
  <c r="G47" i="3"/>
  <c r="G46" i="3"/>
  <c r="G45" i="3"/>
  <c r="G44" i="3"/>
  <c r="G43" i="3"/>
  <c r="G42" i="3"/>
  <c r="G41" i="3"/>
  <c r="G40" i="3"/>
  <c r="F48" i="3"/>
  <c r="F47" i="3"/>
  <c r="F46" i="3"/>
  <c r="F43" i="3"/>
  <c r="F41" i="3"/>
  <c r="F40" i="3"/>
  <c r="E48" i="3"/>
  <c r="E47" i="3"/>
  <c r="E46" i="3"/>
  <c r="E45" i="3"/>
  <c r="E44" i="3"/>
  <c r="E43" i="3"/>
  <c r="E42" i="3"/>
  <c r="E41" i="3"/>
  <c r="E40" i="3"/>
  <c r="D47" i="3"/>
  <c r="B45" i="3" s="1"/>
  <c r="D45" i="3"/>
  <c r="C44" i="3" s="1"/>
  <c r="D44" i="3"/>
  <c r="C43" i="3" s="1"/>
  <c r="D43" i="3"/>
  <c r="B41" i="3" s="1"/>
  <c r="D42" i="3"/>
  <c r="B40" i="3" s="1"/>
  <c r="D41" i="3"/>
  <c r="C40" i="3" s="1"/>
  <c r="D40" i="3"/>
  <c r="C39" i="3" s="1"/>
  <c r="H39" i="3"/>
  <c r="G39" i="3"/>
  <c r="F39" i="3"/>
  <c r="E39" i="3"/>
  <c r="D39" i="3"/>
  <c r="I33" i="3"/>
  <c r="I32" i="3"/>
  <c r="I31" i="3"/>
  <c r="I30" i="3"/>
  <c r="I29" i="3"/>
  <c r="I28" i="3"/>
  <c r="I27" i="3"/>
  <c r="I26" i="3"/>
  <c r="I25" i="3"/>
  <c r="H33" i="3"/>
  <c r="H32" i="3"/>
  <c r="H31" i="3"/>
  <c r="H30" i="3"/>
  <c r="H29" i="3"/>
  <c r="H28" i="3"/>
  <c r="H27" i="3"/>
  <c r="H26" i="3"/>
  <c r="H25" i="3"/>
  <c r="G33" i="3"/>
  <c r="G32" i="3"/>
  <c r="G31" i="3"/>
  <c r="G30" i="3"/>
  <c r="G29" i="3"/>
  <c r="G28" i="3"/>
  <c r="G26" i="3"/>
  <c r="G25" i="3"/>
  <c r="F33" i="3"/>
  <c r="F32" i="3"/>
  <c r="F31" i="3"/>
  <c r="F29" i="3"/>
  <c r="F28" i="3"/>
  <c r="F27" i="3"/>
  <c r="F26" i="3"/>
  <c r="F25" i="3"/>
  <c r="E33" i="3"/>
  <c r="E30" i="3"/>
  <c r="E28" i="3"/>
  <c r="E26" i="3"/>
  <c r="E25" i="3"/>
  <c r="I24" i="3"/>
  <c r="H24" i="3"/>
  <c r="G24" i="3"/>
  <c r="D33" i="3"/>
  <c r="C32" i="3" s="1"/>
  <c r="C33" i="3" s="1"/>
  <c r="D32" i="3"/>
  <c r="B30" i="3" s="1"/>
  <c r="D31" i="3"/>
  <c r="B29" i="3" s="1"/>
  <c r="D30" i="3"/>
  <c r="B28" i="3" s="1"/>
  <c r="D29" i="3"/>
  <c r="C28" i="3" s="1"/>
  <c r="D28" i="3"/>
  <c r="C27" i="3" s="1"/>
  <c r="D27" i="3"/>
  <c r="C85" i="10" s="1"/>
  <c r="D26" i="3"/>
  <c r="C84" i="10" s="1"/>
  <c r="D25" i="3"/>
  <c r="C83" i="10" s="1"/>
  <c r="F24" i="3"/>
  <c r="E24" i="3"/>
  <c r="B26" i="3" l="1"/>
  <c r="C42" i="3"/>
  <c r="B8" i="3"/>
  <c r="C25" i="3"/>
  <c r="B27" i="3"/>
  <c r="B43" i="3"/>
  <c r="C24" i="3"/>
  <c r="C68" i="9" s="1"/>
  <c r="J85" i="10"/>
  <c r="K85" i="10" s="1"/>
  <c r="C16" i="3"/>
  <c r="C29" i="3"/>
  <c r="B24" i="3"/>
  <c r="J82" i="10"/>
  <c r="K82" i="10" s="1"/>
  <c r="C26" i="3"/>
  <c r="J84" i="10"/>
  <c r="K84" i="10" s="1"/>
  <c r="H99" i="7"/>
  <c r="G99" i="7" s="1"/>
  <c r="C99" i="7"/>
  <c r="B99" i="7" s="1"/>
  <c r="H98" i="7"/>
  <c r="G98" i="7"/>
  <c r="C98" i="7"/>
  <c r="H97" i="7"/>
  <c r="G97" i="7" s="1"/>
  <c r="C97" i="7"/>
  <c r="B96" i="7" s="1"/>
  <c r="B97" i="7"/>
  <c r="H96" i="7"/>
  <c r="G96" i="7" s="1"/>
  <c r="C96" i="7"/>
  <c r="B95" i="7" s="1"/>
  <c r="H95" i="7"/>
  <c r="G95" i="7" s="1"/>
  <c r="C95" i="7"/>
  <c r="H94" i="7"/>
  <c r="C94" i="7"/>
  <c r="B93" i="7" s="1"/>
  <c r="B94" i="7"/>
  <c r="H93" i="7"/>
  <c r="C93" i="7"/>
  <c r="B92" i="7" s="1"/>
  <c r="H92" i="7"/>
  <c r="C92" i="7"/>
  <c r="B91" i="7" s="1"/>
  <c r="H91" i="7"/>
  <c r="C91" i="7"/>
  <c r="B90" i="7" s="1"/>
  <c r="H90" i="7"/>
  <c r="C90" i="7"/>
  <c r="H84" i="7"/>
  <c r="G84" i="7" s="1"/>
  <c r="C84" i="7"/>
  <c r="B84" i="7" s="1"/>
  <c r="H83" i="7"/>
  <c r="G83" i="7" s="1"/>
  <c r="C83" i="7"/>
  <c r="B82" i="7" s="1"/>
  <c r="B83" i="7"/>
  <c r="H82" i="7"/>
  <c r="G82" i="7" s="1"/>
  <c r="C82" i="7"/>
  <c r="B81" i="7" s="1"/>
  <c r="H81" i="7"/>
  <c r="G81" i="7" s="1"/>
  <c r="C81" i="7"/>
  <c r="H80" i="7"/>
  <c r="G80" i="7" s="1"/>
  <c r="C80" i="7"/>
  <c r="B79" i="7" s="1"/>
  <c r="B80" i="7"/>
  <c r="H79" i="7"/>
  <c r="C79" i="7"/>
  <c r="B78" i="7" s="1"/>
  <c r="H78" i="7"/>
  <c r="C78" i="7"/>
  <c r="B77" i="7" s="1"/>
  <c r="H77" i="7"/>
  <c r="C77" i="7"/>
  <c r="B76" i="7" s="1"/>
  <c r="H76" i="7"/>
  <c r="C76" i="7"/>
  <c r="H75" i="7"/>
  <c r="C75" i="7"/>
  <c r="B75" i="7"/>
  <c r="C68" i="7"/>
  <c r="B68" i="7" s="1"/>
  <c r="C67" i="7"/>
  <c r="B66" i="7" s="1"/>
  <c r="C66" i="7"/>
  <c r="B65" i="7" s="1"/>
  <c r="C65" i="7"/>
  <c r="C60" i="7"/>
  <c r="B60" i="7" s="1"/>
  <c r="C59" i="7"/>
  <c r="B58" i="7" s="1"/>
  <c r="C58" i="7"/>
  <c r="B57" i="7" s="1"/>
  <c r="C57" i="7"/>
  <c r="B48" i="7"/>
  <c r="B47" i="7"/>
  <c r="C31" i="7"/>
  <c r="C30" i="7"/>
  <c r="C29" i="7"/>
  <c r="C28" i="7"/>
  <c r="C27" i="7"/>
  <c r="K71" i="9" s="1"/>
  <c r="C26" i="7"/>
  <c r="C25" i="7"/>
  <c r="K69" i="9" s="1"/>
  <c r="C24" i="7"/>
  <c r="I68" i="9" s="1"/>
  <c r="K70" i="9" l="1"/>
  <c r="B98" i="7"/>
  <c r="J68" i="9"/>
  <c r="K68" i="9" s="1"/>
  <c r="B67" i="7"/>
  <c r="B59" i="7"/>
  <c r="E84" i="10" l="1"/>
  <c r="F84" i="10" s="1"/>
  <c r="B86" i="10"/>
  <c r="B71" i="10"/>
  <c r="J92" i="10"/>
  <c r="A91" i="10"/>
  <c r="A90" i="10"/>
  <c r="A89" i="10"/>
  <c r="A88" i="10"/>
  <c r="A87" i="10"/>
  <c r="A86" i="10"/>
  <c r="A85" i="10"/>
  <c r="A84" i="10"/>
  <c r="A83" i="10"/>
  <c r="A82" i="10"/>
  <c r="B81" i="10"/>
  <c r="A81" i="10"/>
  <c r="A76" i="10"/>
  <c r="A75" i="10"/>
  <c r="A74" i="10"/>
  <c r="A73" i="10"/>
  <c r="A72" i="10"/>
  <c r="A71" i="10"/>
  <c r="A70" i="10"/>
  <c r="A69" i="10"/>
  <c r="A68" i="10"/>
  <c r="A67" i="10"/>
  <c r="B66" i="10"/>
  <c r="A66" i="10"/>
  <c r="C46" i="10"/>
  <c r="C43" i="10"/>
  <c r="C42" i="10"/>
  <c r="C39" i="10"/>
  <c r="C55" i="10"/>
  <c r="C54" i="10"/>
  <c r="C36" i="10"/>
  <c r="C35" i="10"/>
  <c r="C26" i="10"/>
  <c r="C28" i="10" s="1"/>
  <c r="J78" i="9"/>
  <c r="A77" i="9"/>
  <c r="A76" i="9"/>
  <c r="A75" i="9"/>
  <c r="A74" i="9"/>
  <c r="A73" i="9"/>
  <c r="B72" i="9"/>
  <c r="A72" i="9"/>
  <c r="F71" i="9"/>
  <c r="A71" i="9"/>
  <c r="A70" i="9"/>
  <c r="A69" i="9"/>
  <c r="A68" i="9"/>
  <c r="B67" i="9"/>
  <c r="A67" i="9"/>
  <c r="A62" i="9"/>
  <c r="A61" i="9"/>
  <c r="A60" i="9"/>
  <c r="A59" i="9"/>
  <c r="A58" i="9"/>
  <c r="B57" i="9"/>
  <c r="A57" i="9"/>
  <c r="A56" i="9"/>
  <c r="A55" i="9"/>
  <c r="A54" i="9"/>
  <c r="A53" i="9"/>
  <c r="B52" i="9"/>
  <c r="A52" i="9"/>
  <c r="C32" i="9"/>
  <c r="C41" i="9"/>
  <c r="C40" i="9"/>
  <c r="C29" i="9"/>
  <c r="C28" i="9"/>
  <c r="C20" i="9"/>
  <c r="C22" i="9" s="1"/>
  <c r="I56" i="9" l="1"/>
  <c r="I54" i="9"/>
  <c r="I55" i="9"/>
  <c r="B73" i="9"/>
  <c r="I72" i="9"/>
  <c r="D72" i="9"/>
  <c r="C72" i="9"/>
  <c r="B58" i="9"/>
  <c r="I57" i="9"/>
  <c r="I71" i="10"/>
  <c r="D86" i="10"/>
  <c r="I86" i="10"/>
  <c r="C86" i="10"/>
  <c r="I67" i="10"/>
  <c r="I66" i="10"/>
  <c r="I68" i="10"/>
  <c r="I69" i="10"/>
  <c r="I70" i="10"/>
  <c r="E42" i="10"/>
  <c r="C45" i="10" s="1"/>
  <c r="E45" i="10" s="1"/>
  <c r="H45" i="10" s="1"/>
  <c r="E35" i="10"/>
  <c r="C38" i="10" s="1"/>
  <c r="E38" i="10" s="1"/>
  <c r="H38" i="10" s="1"/>
  <c r="B87" i="10"/>
  <c r="B72" i="10"/>
  <c r="I52" i="9"/>
  <c r="I53" i="9"/>
  <c r="E28" i="9"/>
  <c r="E68" i="9"/>
  <c r="F68" i="9" s="1"/>
  <c r="F70" i="9"/>
  <c r="F69" i="9"/>
  <c r="E82" i="10"/>
  <c r="F82" i="10" s="1"/>
  <c r="E85" i="10"/>
  <c r="F85" i="10" s="1"/>
  <c r="E83" i="10"/>
  <c r="F83" i="10" s="1"/>
  <c r="J72" i="9" l="1"/>
  <c r="K72" i="9" s="1"/>
  <c r="E72" i="9"/>
  <c r="F72" i="9" s="1"/>
  <c r="B59" i="9"/>
  <c r="I58" i="9"/>
  <c r="B74" i="9"/>
  <c r="I73" i="9"/>
  <c r="C73" i="9"/>
  <c r="D73" i="9"/>
  <c r="E86" i="10"/>
  <c r="F86" i="10" s="1"/>
  <c r="C31" i="9"/>
  <c r="E31" i="9" s="1"/>
  <c r="H31" i="9" s="1"/>
  <c r="C37" i="9" s="1"/>
  <c r="C38" i="9" s="1"/>
  <c r="C42" i="9" s="1"/>
  <c r="C43" i="9" s="1"/>
  <c r="J86" i="10"/>
  <c r="K86" i="10" s="1"/>
  <c r="C87" i="10"/>
  <c r="D87" i="10"/>
  <c r="I87" i="10"/>
  <c r="J87" i="10" s="1"/>
  <c r="K87" i="10" s="1"/>
  <c r="I72" i="10"/>
  <c r="C51" i="10"/>
  <c r="C52" i="10" s="1"/>
  <c r="C56" i="10" s="1"/>
  <c r="C57" i="10" s="1"/>
  <c r="D72" i="10" s="1"/>
  <c r="B73" i="10"/>
  <c r="B88" i="10"/>
  <c r="J73" i="9" l="1"/>
  <c r="K73" i="9" s="1"/>
  <c r="C55" i="9"/>
  <c r="J55" i="9" s="1"/>
  <c r="K55" i="9" s="1"/>
  <c r="C56" i="9"/>
  <c r="J56" i="9" s="1"/>
  <c r="K56" i="9" s="1"/>
  <c r="D54" i="9"/>
  <c r="D55" i="9"/>
  <c r="C54" i="9"/>
  <c r="J54" i="9" s="1"/>
  <c r="K54" i="9" s="1"/>
  <c r="D56" i="9"/>
  <c r="D57" i="9"/>
  <c r="C57" i="9"/>
  <c r="J57" i="9" s="1"/>
  <c r="K57" i="9" s="1"/>
  <c r="C58" i="9"/>
  <c r="J58" i="9" s="1"/>
  <c r="K58" i="9" s="1"/>
  <c r="D58" i="9"/>
  <c r="E73" i="9"/>
  <c r="F73" i="9" s="1"/>
  <c r="B60" i="9"/>
  <c r="D59" i="9"/>
  <c r="I59" i="9"/>
  <c r="C59" i="9"/>
  <c r="B75" i="9"/>
  <c r="C74" i="9"/>
  <c r="D74" i="9"/>
  <c r="I74" i="9"/>
  <c r="D53" i="9"/>
  <c r="D52" i="9"/>
  <c r="C53" i="9"/>
  <c r="J53" i="9" s="1"/>
  <c r="K53" i="9" s="1"/>
  <c r="C52" i="9"/>
  <c r="E87" i="10"/>
  <c r="F87" i="10" s="1"/>
  <c r="C72" i="10"/>
  <c r="J72" i="10" s="1"/>
  <c r="K72" i="10" s="1"/>
  <c r="C88" i="10"/>
  <c r="D88" i="10"/>
  <c r="I88" i="10"/>
  <c r="D73" i="10"/>
  <c r="I73" i="10"/>
  <c r="C73" i="10"/>
  <c r="D67" i="10"/>
  <c r="C67" i="10"/>
  <c r="J67" i="10" s="1"/>
  <c r="K67" i="10" s="1"/>
  <c r="D66" i="10"/>
  <c r="C68" i="10"/>
  <c r="J68" i="10" s="1"/>
  <c r="K68" i="10" s="1"/>
  <c r="C66" i="10"/>
  <c r="D70" i="10"/>
  <c r="C69" i="10"/>
  <c r="J69" i="10" s="1"/>
  <c r="K69" i="10" s="1"/>
  <c r="D69" i="10"/>
  <c r="C70" i="10"/>
  <c r="J70" i="10" s="1"/>
  <c r="K70" i="10" s="1"/>
  <c r="D68" i="10"/>
  <c r="D71" i="10"/>
  <c r="C71" i="10"/>
  <c r="J71" i="10" s="1"/>
  <c r="K71" i="10" s="1"/>
  <c r="B89" i="10"/>
  <c r="B74" i="10"/>
  <c r="J74" i="9" l="1"/>
  <c r="K74" i="9" s="1"/>
  <c r="E56" i="9"/>
  <c r="F56" i="9" s="1"/>
  <c r="E54" i="9"/>
  <c r="F54" i="9" s="1"/>
  <c r="E57" i="9"/>
  <c r="F57" i="9" s="1"/>
  <c r="G57" i="9" s="1"/>
  <c r="E58" i="9"/>
  <c r="F58" i="9" s="1"/>
  <c r="G58" i="9" s="1"/>
  <c r="E59" i="9"/>
  <c r="F59" i="9" s="1"/>
  <c r="G59" i="9" s="1"/>
  <c r="E55" i="9"/>
  <c r="F55" i="9" s="1"/>
  <c r="E74" i="9"/>
  <c r="F74" i="9" s="1"/>
  <c r="J59" i="9"/>
  <c r="K59" i="9" s="1"/>
  <c r="B61" i="9"/>
  <c r="C60" i="9"/>
  <c r="D60" i="9"/>
  <c r="I60" i="9"/>
  <c r="B76" i="9"/>
  <c r="D75" i="9"/>
  <c r="C75" i="9"/>
  <c r="I75" i="9"/>
  <c r="J88" i="10"/>
  <c r="K88" i="10" s="1"/>
  <c r="E68" i="10"/>
  <c r="F68" i="10" s="1"/>
  <c r="E69" i="10"/>
  <c r="F69" i="10" s="1"/>
  <c r="E53" i="9"/>
  <c r="F53" i="9" s="1"/>
  <c r="E70" i="10"/>
  <c r="F70" i="10" s="1"/>
  <c r="E72" i="10"/>
  <c r="F72" i="10" s="1"/>
  <c r="E67" i="10"/>
  <c r="F67" i="10" s="1"/>
  <c r="J73" i="10"/>
  <c r="K73" i="10" s="1"/>
  <c r="E71" i="10"/>
  <c r="F71" i="10" s="1"/>
  <c r="D74" i="10"/>
  <c r="C74" i="10"/>
  <c r="I74" i="10"/>
  <c r="C89" i="10"/>
  <c r="D89" i="10"/>
  <c r="I89" i="10"/>
  <c r="E73" i="10"/>
  <c r="F73" i="10" s="1"/>
  <c r="B75" i="10"/>
  <c r="E88" i="10"/>
  <c r="F88" i="10" s="1"/>
  <c r="B90" i="10"/>
  <c r="J75" i="9" l="1"/>
  <c r="K75" i="9" s="1"/>
  <c r="E60" i="9"/>
  <c r="F60" i="9" s="1"/>
  <c r="G60" i="9" s="1"/>
  <c r="J60" i="9"/>
  <c r="K60" i="9" s="1"/>
  <c r="E75" i="9"/>
  <c r="F75" i="9" s="1"/>
  <c r="B77" i="9"/>
  <c r="D76" i="9"/>
  <c r="C76" i="9"/>
  <c r="I76" i="9"/>
  <c r="B62" i="9"/>
  <c r="D61" i="9"/>
  <c r="I61" i="9"/>
  <c r="C61" i="9"/>
  <c r="J89" i="10"/>
  <c r="K89" i="10" s="1"/>
  <c r="J74" i="10"/>
  <c r="K74" i="10" s="1"/>
  <c r="D75" i="10"/>
  <c r="I75" i="10"/>
  <c r="C75" i="10"/>
  <c r="C90" i="10"/>
  <c r="D90" i="10"/>
  <c r="I90" i="10"/>
  <c r="E89" i="10"/>
  <c r="F89" i="10" s="1"/>
  <c r="E74" i="10"/>
  <c r="F74" i="10" s="1"/>
  <c r="B91" i="10"/>
  <c r="B76" i="10"/>
  <c r="E76" i="9" l="1"/>
  <c r="F76" i="9" s="1"/>
  <c r="J61" i="9"/>
  <c r="K61" i="9" s="1"/>
  <c r="E61" i="9"/>
  <c r="F61" i="9" s="1"/>
  <c r="G61" i="9" s="1"/>
  <c r="J76" i="9"/>
  <c r="K76" i="9" s="1"/>
  <c r="C62" i="9"/>
  <c r="D62" i="9"/>
  <c r="I62" i="9"/>
  <c r="I77" i="9"/>
  <c r="D77" i="9"/>
  <c r="C77" i="9"/>
  <c r="J90" i="10"/>
  <c r="K90" i="10" s="1"/>
  <c r="J75" i="10"/>
  <c r="K75" i="10" s="1"/>
  <c r="I76" i="10"/>
  <c r="C76" i="10"/>
  <c r="D76" i="10"/>
  <c r="C91" i="10"/>
  <c r="D91" i="10"/>
  <c r="I91" i="10"/>
  <c r="E90" i="10"/>
  <c r="F90" i="10" s="1"/>
  <c r="E75" i="10"/>
  <c r="F75" i="10" s="1"/>
  <c r="J77" i="9" l="1"/>
  <c r="K77" i="9" s="1"/>
  <c r="E77" i="9"/>
  <c r="F77" i="9" s="1"/>
  <c r="J62" i="9"/>
  <c r="K62" i="9" s="1"/>
  <c r="E62" i="9"/>
  <c r="F62" i="9" s="1"/>
  <c r="G62" i="9" s="1"/>
  <c r="J91" i="10"/>
  <c r="K91" i="10" s="1"/>
  <c r="J76" i="10"/>
  <c r="K76" i="10" s="1"/>
  <c r="E76" i="10"/>
  <c r="F76" i="10" s="1"/>
  <c r="E91" i="10"/>
  <c r="F91" i="10" s="1"/>
</calcChain>
</file>

<file path=xl/sharedStrings.xml><?xml version="1.0" encoding="utf-8"?>
<sst xmlns="http://schemas.openxmlformats.org/spreadsheetml/2006/main" count="429" uniqueCount="172">
  <si>
    <t xml:space="preserve">Roster Detail </t>
  </si>
  <si>
    <t xml:space="preserve">Which calculator should I use? </t>
  </si>
  <si>
    <t xml:space="preserve">You will need to enter the appropriate information for the shared roster detail, individual roster detail and the current run category hours as per the run description.  </t>
  </si>
  <si>
    <t>How to enter information in the calculator</t>
  </si>
  <si>
    <r>
      <t>Insert the appropriate options from the drop down menu at the top.  You only need to select options from the fields that have been highlighte</t>
    </r>
    <r>
      <rPr>
        <sz val="11"/>
        <rFont val="Calibri"/>
        <family val="2"/>
        <scheme val="minor"/>
      </rPr>
      <t>d in yellow.</t>
    </r>
    <r>
      <rPr>
        <sz val="11"/>
        <color theme="1"/>
        <rFont val="Calibri"/>
        <family val="2"/>
        <scheme val="minor"/>
      </rPr>
      <t xml:space="preserve"> </t>
    </r>
  </si>
  <si>
    <t>Select the appropriate DHB, the correct designation (House Officer or Registrar) and pay scale (urban or non-urban).</t>
  </si>
  <si>
    <t xml:space="preserve">Roster Detail explanation </t>
  </si>
  <si>
    <r>
      <rPr>
        <i/>
        <sz val="11"/>
        <color rgb="FFFF0000"/>
        <rFont val="Calibri"/>
        <family val="2"/>
        <scheme val="minor"/>
      </rPr>
      <t>Please note:</t>
    </r>
    <r>
      <rPr>
        <i/>
        <sz val="11"/>
        <color theme="1"/>
        <rFont val="Calibri"/>
        <family val="2"/>
        <scheme val="minor"/>
      </rPr>
      <t xml:space="preserve"> if you are using the shared roster calculator, there is an entry section for the shared shifts and individual shifts for the specific service. </t>
    </r>
  </si>
  <si>
    <t xml:space="preserve">Number of weeks in the run: Please select this answer based on the weeks in the run, not the amount of weeks on the template </t>
  </si>
  <si>
    <t xml:space="preserve">Number of RMO's contributing to weekend duties: If all RMO's contribute to weekend duties, you can include all of the FTE on the roster.                                                                                                                                                                                                                                     However, if you have a range of services sitting on one roster and all contributing to various weekend shifts  - you may need to do separate calculations for each Run Description. </t>
  </si>
  <si>
    <t>RDO Standard hours: 8 hours is the standard length of an RDO to be used in the calculations</t>
  </si>
  <si>
    <t xml:space="preserve">Number of RDO's on the roster: Using the roster, calculate the total amount of RDO's that are on the roster and enter the number </t>
  </si>
  <si>
    <t xml:space="preserve">Weeks per annum (for calculations): This is to be used in the calculations and cannot be changed. </t>
  </si>
  <si>
    <t xml:space="preserve">Step 1 </t>
  </si>
  <si>
    <t xml:space="preserve">This section inputs the current Run Category information which will be filtered to other formulas in the calculator. </t>
  </si>
  <si>
    <t xml:space="preserve">Insert the Additional Rostered Hours and Unrostered Hours </t>
  </si>
  <si>
    <r>
      <t xml:space="preserve">You will need to enter the Run Category of the relievers. This will normally be two categories above the Run Category but for Pooled Relievers - this could vary depending on the most common Run Category of all services on the roster. </t>
    </r>
    <r>
      <rPr>
        <i/>
        <sz val="11"/>
        <color rgb="FFFF0000"/>
        <rFont val="Calibri"/>
        <family val="2"/>
        <scheme val="minor"/>
      </rPr>
      <t>Please note:</t>
    </r>
    <r>
      <rPr>
        <i/>
        <sz val="11"/>
        <color theme="1"/>
        <rFont val="Calibri"/>
        <family val="2"/>
        <scheme val="minor"/>
      </rPr>
      <t xml:space="preserve"> in the Auckland Region, one step above an A Category is a A+, two steps above is an A++ on the salary scale.</t>
    </r>
  </si>
  <si>
    <t>Step 2</t>
  </si>
  <si>
    <t xml:space="preserve">Previously information that was input to the Roster Detail section above will filter down to do this calculation for you.  </t>
  </si>
  <si>
    <t xml:space="preserve">Transition Calculation </t>
  </si>
  <si>
    <r>
      <rPr>
        <b/>
        <i/>
        <sz val="11"/>
        <color rgb="FFFF0000"/>
        <rFont val="Calibri"/>
        <family val="2"/>
        <scheme val="minor"/>
      </rPr>
      <t xml:space="preserve">Note: </t>
    </r>
    <r>
      <rPr>
        <b/>
        <i/>
        <sz val="11"/>
        <color theme="1"/>
        <rFont val="Calibri"/>
        <family val="2"/>
        <scheme val="minor"/>
      </rPr>
      <t>You only need to input information into the cells highlighted in yellow</t>
    </r>
  </si>
  <si>
    <t xml:space="preserve">DHB: </t>
  </si>
  <si>
    <t>Select from drop down menu</t>
  </si>
  <si>
    <t>Designation:</t>
  </si>
  <si>
    <t>Pay Scale:</t>
  </si>
  <si>
    <t>Service:</t>
  </si>
  <si>
    <t>Free text option to detail name of the Service</t>
  </si>
  <si>
    <t>Roster Detail</t>
  </si>
  <si>
    <t>Number of Weeks in the run</t>
  </si>
  <si>
    <t>Number of RMO's contributing to weekend duties</t>
  </si>
  <si>
    <t>RDO standard hours</t>
  </si>
  <si>
    <t xml:space="preserve">Number of RDO's on the roster </t>
  </si>
  <si>
    <t>Must be a whole number limited to 3 digits</t>
  </si>
  <si>
    <t>Weeks per annum (for calculations)</t>
  </si>
  <si>
    <t xml:space="preserve">STEP 1 </t>
  </si>
  <si>
    <t>Enter Rostered Additional Hours and Unrostered Hours from the Run Description</t>
  </si>
  <si>
    <t xml:space="preserve">Ordinary </t>
  </si>
  <si>
    <t xml:space="preserve">Rostered Additional Hours </t>
  </si>
  <si>
    <t>Must be a number</t>
  </si>
  <si>
    <t xml:space="preserve">Unrostered Hours </t>
  </si>
  <si>
    <t>Total</t>
  </si>
  <si>
    <t xml:space="preserve">Run Category </t>
  </si>
  <si>
    <t>STEP 2</t>
  </si>
  <si>
    <t>You do not need to enter any data in this section. Data is pre-populated from cells C9 to C12.</t>
  </si>
  <si>
    <t xml:space="preserve">Formula for calculating weekly average of hours deducted for RDO's </t>
  </si>
  <si>
    <t>Ordinary Hours</t>
  </si>
  <si>
    <t>RDO Hours</t>
  </si>
  <si>
    <t>Number of RDO's on the roster:</t>
  </si>
  <si>
    <t>=</t>
  </si>
  <si>
    <t xml:space="preserve">Average RDO'S per RMO </t>
  </si>
  <si>
    <t>Adjusted Ordinary Hours</t>
  </si>
  <si>
    <t>Number of RMO's contributing to the roster:</t>
  </si>
  <si>
    <t>Rostered Additional</t>
  </si>
  <si>
    <t>Average RDO's per RMO X RDO standard hours</t>
  </si>
  <si>
    <t>Average weekly hours to be deducted per RMO</t>
  </si>
  <si>
    <t>Unrostered Hours</t>
  </si>
  <si>
    <t>Total Hours</t>
  </si>
  <si>
    <t>Category</t>
  </si>
  <si>
    <t xml:space="preserve">Select from drop down menu </t>
  </si>
  <si>
    <t>Urban / Non Urban</t>
  </si>
  <si>
    <t xml:space="preserve">PGY Year </t>
  </si>
  <si>
    <t>Comparison for transition</t>
  </si>
  <si>
    <t>Increase/Decrease</t>
  </si>
  <si>
    <t xml:space="preserve">Reliever Calculator </t>
  </si>
  <si>
    <t>Shared Roster Detail</t>
  </si>
  <si>
    <t>Individual Roster Detail</t>
  </si>
  <si>
    <t>Increase / Decrease</t>
  </si>
  <si>
    <t>RDA Salary Scale</t>
  </si>
  <si>
    <t>House Officer</t>
  </si>
  <si>
    <t xml:space="preserve">RDA Urban Scale </t>
  </si>
  <si>
    <t xml:space="preserve">House Officer </t>
  </si>
  <si>
    <t>A++</t>
  </si>
  <si>
    <t>A+</t>
  </si>
  <si>
    <t>A</t>
  </si>
  <si>
    <t>B</t>
  </si>
  <si>
    <t>C</t>
  </si>
  <si>
    <t>D</t>
  </si>
  <si>
    <t>E</t>
  </si>
  <si>
    <t>F</t>
  </si>
  <si>
    <t xml:space="preserve">RDA Non-Urban Scale </t>
  </si>
  <si>
    <t xml:space="preserve">Registrar </t>
  </si>
  <si>
    <t>SToNZ Salary Scale</t>
  </si>
  <si>
    <t xml:space="preserve">SToNZ Urban Scale </t>
  </si>
  <si>
    <t xml:space="preserve">SToNZ Non-Urban Scale </t>
  </si>
  <si>
    <t>ED/ICU Rosters</t>
  </si>
  <si>
    <t xml:space="preserve">Designation </t>
  </si>
  <si>
    <t>Pay Scale</t>
  </si>
  <si>
    <t>DHB's</t>
  </si>
  <si>
    <t xml:space="preserve">Number of Weeks in the run </t>
  </si>
  <si>
    <t xml:space="preserve">RMO'S contributing </t>
  </si>
  <si>
    <t>RMO Year</t>
  </si>
  <si>
    <t>Urban Scale RDO Deduction $</t>
  </si>
  <si>
    <t>Non Urban Scale RDO Deduction $</t>
  </si>
  <si>
    <t xml:space="preserve">Hours </t>
  </si>
  <si>
    <t>Reliever Categories</t>
  </si>
  <si>
    <t>Urban Scale</t>
  </si>
  <si>
    <t>Auckland DHB</t>
  </si>
  <si>
    <t>House Officer  Year 1</t>
  </si>
  <si>
    <t>40 -44.9</t>
  </si>
  <si>
    <t>Registrar</t>
  </si>
  <si>
    <t>Non Urban Scale</t>
  </si>
  <si>
    <t>Bay of Plenty DHB</t>
  </si>
  <si>
    <t>House Officer  Year 2</t>
  </si>
  <si>
    <t>45-49.9</t>
  </si>
  <si>
    <t>Canterbury DHB</t>
  </si>
  <si>
    <t>House Officer  Year 3</t>
  </si>
  <si>
    <t>50-54.9</t>
  </si>
  <si>
    <t>Capital and Coast DHB</t>
  </si>
  <si>
    <t>House Officer  Year 4</t>
  </si>
  <si>
    <t>55-59.9</t>
  </si>
  <si>
    <t>Counties Manakua DHB</t>
  </si>
  <si>
    <t>Registrar Year 1</t>
  </si>
  <si>
    <t>60-64.9</t>
  </si>
  <si>
    <t>Hawke's Bay DHB</t>
  </si>
  <si>
    <t>Registrar Year 2</t>
  </si>
  <si>
    <t>65+</t>
  </si>
  <si>
    <t>Hutt Valley DHB</t>
  </si>
  <si>
    <t>Registrar Year 3</t>
  </si>
  <si>
    <t>Lakes DHB</t>
  </si>
  <si>
    <t>Registrar Year 4</t>
  </si>
  <si>
    <t>MidCentral DHB</t>
  </si>
  <si>
    <t>Registrar Year 5</t>
  </si>
  <si>
    <t>Nelson Malborough DHB</t>
  </si>
  <si>
    <t>Registrar Year 6</t>
  </si>
  <si>
    <t>Northland DHB</t>
  </si>
  <si>
    <t>Registrar Year 7</t>
  </si>
  <si>
    <t>South Canterbury DHB</t>
  </si>
  <si>
    <t>Registrar Year 8</t>
  </si>
  <si>
    <t>Southern DHB</t>
  </si>
  <si>
    <t>Registrar Year 9</t>
  </si>
  <si>
    <t>Tairawhiti DHB</t>
  </si>
  <si>
    <t>Registrar Year 10</t>
  </si>
  <si>
    <t>Taranaki DHB</t>
  </si>
  <si>
    <t>Waikato DHB</t>
  </si>
  <si>
    <t>Wairarapa DHB</t>
  </si>
  <si>
    <t>Waitemata DHB</t>
  </si>
  <si>
    <t>West Coast DHB</t>
  </si>
  <si>
    <t>Whanganui DHB</t>
  </si>
  <si>
    <t>split them into urban and non-urban</t>
  </si>
  <si>
    <t>MECA increase 01/04/2019</t>
  </si>
  <si>
    <t xml:space="preserve">Guide for Calculating Run Categories for STONZ members </t>
  </si>
  <si>
    <t xml:space="preserve">This tool allows you to calculate the Run Category for STONZ members who are observing RDO's.  Reminder: if they are not observing the RDO's, the calculations will remain the same. </t>
  </si>
  <si>
    <t xml:space="preserve">You would use the roster calculator to determine the STONZ run category for a service that contributes to the same amount of weekend shifts and corrosponding RDO’s. </t>
  </si>
  <si>
    <t xml:space="preserve">In the instance where services contribute to a portion of their own weekend shifts as well as weekend shifts that are shared amongst each service on the roster, the shared calculator should be used to determine the STONZ run category. </t>
  </si>
  <si>
    <t xml:space="preserve">This section calculates the average RDO's each week, taken by an RMO to be deducted from a STONZ members Run Category to determine their salary. </t>
  </si>
  <si>
    <t xml:space="preserve">This number will then show as a negative number in the Run Category box to the right to show the appropriate Run Category for STONZ members observing RDO's. </t>
  </si>
  <si>
    <t>MECA Increase 18/04/2020</t>
  </si>
  <si>
    <t>MECA Increase 17/10/2022</t>
  </si>
  <si>
    <t>MECA Increase 16/01/2023</t>
  </si>
  <si>
    <t>MECA Increase 20/12/2021</t>
  </si>
  <si>
    <t>MECA Increase  07/02/2023</t>
  </si>
  <si>
    <t>Cat Incr</t>
  </si>
  <si>
    <t>Run Category (Weekday RDOs Worked)</t>
  </si>
  <si>
    <t>Annual RDA Salary           (RDOs deducted</t>
  </si>
  <si>
    <t>Annual STONZ Salary         (RDOs deducted)</t>
  </si>
  <si>
    <t>Annual STONZ Salary         (RDOs Worked)</t>
  </si>
  <si>
    <t xml:space="preserve">Enter STONZ Relief Run Category </t>
  </si>
  <si>
    <t>Enter NZRDA Relief Run Category</t>
  </si>
  <si>
    <t>NB: RDA Relief category may be different as method for calculating relief where it is pooled differs to STONZ MECA</t>
  </si>
  <si>
    <t>Run Category (RDO's are observed)</t>
  </si>
  <si>
    <t>Run Categpry (weekday RDOs worked)</t>
  </si>
  <si>
    <t>Run Category weekday RDOs deducted</t>
  </si>
  <si>
    <t>STONZ Relief Run Category</t>
  </si>
  <si>
    <t xml:space="preserve">STONZ Relief Run Category </t>
  </si>
  <si>
    <t xml:space="preserve">NZRDA Relief Run Category </t>
  </si>
  <si>
    <t>Annual STONZ Salary         (RDOs worked)</t>
  </si>
  <si>
    <t>Annual RDA Salary           (RDOs deducted)</t>
  </si>
  <si>
    <t>Calculating Run Categories for STONZ</t>
  </si>
  <si>
    <t>Based on the outcome of the steps above, the table will be populated with the corresponding annual salary for the run category for both RDA and STONZ. This will be compared to the STONZ annual salary depending on the run category determined in Step 2.   Two calculations will be provided one for weekday RDOs deducted and one for weekday RDOs worked.</t>
  </si>
  <si>
    <t>Transition Calculation and Reliever Calculation</t>
  </si>
  <si>
    <t xml:space="preserve">The far right column for each calculation will identify if the STONZ run category will result in an increase or decrease in salary compared to the RDA MECA Salary. </t>
  </si>
  <si>
    <t>This answer will then allow you to compare the run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</si>
</sst>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sz val="10"/>
      <name val="Arial"/>
      <family val="2"/>
    </font>
    <font>
      <sz val="11"/>
      <name val="Calibri"/>
      <family val="2"/>
      <scheme val="minor"/>
    </font>
    <font>
      <sz val="10"/>
      <name val="Calibri"/>
      <family val="2"/>
      <scheme val="minor"/>
    </font>
    <font>
      <sz val="10"/>
      <color theme="1"/>
      <name val="Calibri"/>
      <family val="2"/>
      <scheme val="minor"/>
    </font>
    <font>
      <b/>
      <sz val="10"/>
      <name val="Calibri"/>
      <family val="2"/>
      <scheme val="minor"/>
    </font>
    <font>
      <sz val="11"/>
      <color rgb="FF9C6500"/>
      <name val="Calibri"/>
      <family val="2"/>
      <scheme val="minor"/>
    </font>
    <font>
      <b/>
      <sz val="11"/>
      <color rgb="FFFA7D00"/>
      <name val="Calibri"/>
      <family val="2"/>
      <scheme val="minor"/>
    </font>
    <font>
      <sz val="11"/>
      <color rgb="FFFF0000"/>
      <name val="Calibri"/>
      <family val="2"/>
      <scheme val="minor"/>
    </font>
    <font>
      <b/>
      <i/>
      <sz val="11"/>
      <color theme="1"/>
      <name val="Calibri"/>
      <family val="2"/>
      <scheme val="minor"/>
    </font>
    <font>
      <b/>
      <i/>
      <sz val="11"/>
      <color rgb="FFFF0000"/>
      <name val="Calibri"/>
      <family val="2"/>
      <scheme val="minor"/>
    </font>
    <font>
      <b/>
      <sz val="11"/>
      <name val="Calibri"/>
      <family val="2"/>
      <scheme val="minor"/>
    </font>
    <font>
      <b/>
      <sz val="18"/>
      <color theme="1"/>
      <name val="Calibri"/>
      <family val="2"/>
      <scheme val="minor"/>
    </font>
    <font>
      <sz val="18"/>
      <color theme="1"/>
      <name val="Calibri"/>
      <family val="2"/>
      <scheme val="minor"/>
    </font>
    <font>
      <i/>
      <sz val="11"/>
      <color rgb="FFFF0000"/>
      <name val="Calibri"/>
      <family val="2"/>
      <scheme val="minor"/>
    </font>
    <font>
      <sz val="14"/>
      <color theme="1"/>
      <name val="Calibri"/>
      <family val="2"/>
      <scheme val="minor"/>
    </font>
    <font>
      <sz val="13"/>
      <color rgb="FFFF0000"/>
      <name val="Calibri"/>
      <family val="2"/>
      <scheme val="minor"/>
    </font>
    <font>
      <sz val="13"/>
      <color rgb="FF9C6500"/>
      <name val="Calibri"/>
      <family val="2"/>
      <scheme val="minor"/>
    </font>
    <font>
      <b/>
      <sz val="13"/>
      <color rgb="FFFA7D00"/>
      <name val="Calibri"/>
      <family val="2"/>
      <scheme val="minor"/>
    </font>
    <font>
      <b/>
      <sz val="13"/>
      <color rgb="FF92D050"/>
      <name val="Calibri"/>
      <family val="2"/>
      <scheme val="minor"/>
    </font>
    <font>
      <b/>
      <sz val="13"/>
      <color theme="1"/>
      <name val="Calibri"/>
      <family val="2"/>
      <scheme val="minor"/>
    </font>
    <font>
      <sz val="13"/>
      <color theme="1"/>
      <name val="Calibri"/>
      <family val="2"/>
      <scheme val="minor"/>
    </font>
    <font>
      <b/>
      <i/>
      <sz val="11"/>
      <name val="Calibri"/>
      <family val="2"/>
      <scheme val="minor"/>
    </font>
  </fonts>
  <fills count="23">
    <fill>
      <patternFill patternType="none"/>
    </fill>
    <fill>
      <patternFill patternType="gray125"/>
    </fill>
    <fill>
      <patternFill patternType="solid">
        <fgColor rgb="FFDDDDDD"/>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CC99"/>
        <bgColor indexed="64"/>
      </patternFill>
    </fill>
    <fill>
      <patternFill patternType="solid">
        <fgColor rgb="FFCCCCFF"/>
        <bgColor indexed="64"/>
      </patternFill>
    </fill>
    <fill>
      <patternFill patternType="solid">
        <fgColor rgb="FFFFFFCC"/>
        <bgColor indexed="64"/>
      </patternFill>
    </fill>
    <fill>
      <patternFill patternType="lightGray">
        <bgColor theme="9" tint="0.79995117038483843"/>
      </patternFill>
    </fill>
    <fill>
      <patternFill patternType="solid">
        <fgColor theme="9" tint="0.39997558519241921"/>
        <bgColor indexed="64"/>
      </patternFill>
    </fill>
    <fill>
      <patternFill patternType="solid">
        <fgColor rgb="FFFFEB9C"/>
      </patternFill>
    </fill>
    <fill>
      <patternFill patternType="solid">
        <fgColor rgb="FFF2F2F2"/>
      </patternFill>
    </fill>
    <fill>
      <patternFill patternType="solid">
        <fgColor theme="5" tint="0.79998168889431442"/>
        <bgColor indexed="65"/>
      </patternFill>
    </fill>
    <fill>
      <patternFill patternType="solid">
        <fgColor theme="8" tint="0.59999389629810485"/>
        <bgColor indexed="65"/>
      </patternFill>
    </fill>
    <fill>
      <patternFill patternType="solid">
        <fgColor theme="9" tint="0.59999389629810485"/>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FF66"/>
        <bgColor indexed="64"/>
      </patternFill>
    </fill>
    <fill>
      <patternFill patternType="solid">
        <fgColor rgb="FFFFCCCC"/>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s>
  <cellStyleXfs count="9">
    <xf numFmtId="0" fontId="0" fillId="0" borderId="0"/>
    <xf numFmtId="0" fontId="6" fillId="0" borderId="0"/>
    <xf numFmtId="44" fontId="6" fillId="0" borderId="0" applyFont="0" applyFill="0" applyBorder="0" applyAlignment="0" applyProtection="0"/>
    <xf numFmtId="0" fontId="11" fillId="10" borderId="0" applyNumberFormat="0" applyBorder="0" applyAlignment="0" applyProtection="0"/>
    <xf numFmtId="0" fontId="12" fillId="11" borderId="1" applyNumberFormat="0" applyAlignment="0" applyProtection="0"/>
    <xf numFmtId="0" fontId="1" fillId="12" borderId="0" applyNumberFormat="0" applyBorder="0" applyAlignment="0" applyProtection="0"/>
    <xf numFmtId="0" fontId="1" fillId="13" borderId="0" applyNumberFormat="0" applyBorder="0" applyAlignment="0" applyProtection="0"/>
    <xf numFmtId="0" fontId="6" fillId="0" borderId="0"/>
    <xf numFmtId="0" fontId="13" fillId="0" borderId="0" applyNumberFormat="0" applyFill="0" applyBorder="0" applyAlignment="0" applyProtection="0"/>
  </cellStyleXfs>
  <cellXfs count="210">
    <xf numFmtId="0" fontId="0" fillId="0" borderId="0" xfId="0"/>
    <xf numFmtId="0" fontId="0" fillId="0" borderId="0" xfId="0" applyAlignment="1">
      <alignment horizontal="center"/>
    </xf>
    <xf numFmtId="0" fontId="0" fillId="0" borderId="0" xfId="0" applyFont="1"/>
    <xf numFmtId="0" fontId="2" fillId="0" borderId="0" xfId="0" applyFont="1"/>
    <xf numFmtId="0" fontId="2" fillId="0" borderId="0" xfId="0" applyFont="1" applyAlignment="1">
      <alignment horizontal="center"/>
    </xf>
    <xf numFmtId="0" fontId="0" fillId="0" borderId="0" xfId="0" applyFill="1"/>
    <xf numFmtId="0" fontId="0" fillId="0" borderId="0" xfId="0" applyFill="1" applyAlignment="1">
      <alignment horizontal="center"/>
    </xf>
    <xf numFmtId="6" fontId="0" fillId="0" borderId="0" xfId="0" applyNumberFormat="1" applyFont="1"/>
    <xf numFmtId="0" fontId="3" fillId="0" borderId="0" xfId="0" applyFont="1" applyFill="1" applyAlignment="1"/>
    <xf numFmtId="0" fontId="2" fillId="0" borderId="0" xfId="0" applyFont="1" applyFill="1" applyAlignment="1">
      <alignment horizontal="center"/>
    </xf>
    <xf numFmtId="0" fontId="0" fillId="0" borderId="0" xfId="0"/>
    <xf numFmtId="164" fontId="0" fillId="0" borderId="0" xfId="0" applyNumberFormat="1" applyAlignment="1">
      <alignment horizontal="center"/>
    </xf>
    <xf numFmtId="0" fontId="0" fillId="0" borderId="0" xfId="0"/>
    <xf numFmtId="0" fontId="0" fillId="0" borderId="0" xfId="0" applyFont="1" applyAlignment="1">
      <alignment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ont="1" applyBorder="1" applyAlignment="1">
      <alignment wrapText="1"/>
    </xf>
    <xf numFmtId="0" fontId="0" fillId="20" borderId="3" xfId="0" applyFill="1" applyBorder="1" applyAlignment="1">
      <alignment horizontal="center" vertical="center"/>
    </xf>
    <xf numFmtId="0" fontId="0" fillId="20" borderId="4" xfId="0" applyFont="1" applyFill="1" applyBorder="1" applyAlignment="1">
      <alignment wrapText="1"/>
    </xf>
    <xf numFmtId="0" fontId="0" fillId="20" borderId="0" xfId="0" applyFill="1"/>
    <xf numFmtId="0" fontId="0" fillId="20" borderId="4" xfId="0" applyFont="1" applyFill="1" applyBorder="1" applyAlignment="1">
      <alignment vertical="center" wrapText="1"/>
    </xf>
    <xf numFmtId="0" fontId="4" fillId="20" borderId="4" xfId="0" applyFont="1" applyFill="1" applyBorder="1" applyAlignment="1">
      <alignment vertical="center" wrapText="1"/>
    </xf>
    <xf numFmtId="0" fontId="0" fillId="0" borderId="0" xfId="0" applyBorder="1" applyProtection="1"/>
    <xf numFmtId="0" fontId="0" fillId="0" borderId="0" xfId="0" applyProtection="1"/>
    <xf numFmtId="0" fontId="0" fillId="0" borderId="3" xfId="0" applyBorder="1" applyProtection="1"/>
    <xf numFmtId="0" fontId="14" fillId="0" borderId="0" xfId="0" applyFont="1" applyBorder="1" applyAlignment="1" applyProtection="1">
      <alignment vertical="center"/>
    </xf>
    <xf numFmtId="0" fontId="0" fillId="0" borderId="0" xfId="0" applyAlignment="1" applyProtection="1">
      <alignment horizontal="center"/>
    </xf>
    <xf numFmtId="0" fontId="4" fillId="0" borderId="0" xfId="0" applyFont="1" applyBorder="1" applyProtection="1"/>
    <xf numFmtId="0" fontId="0" fillId="0" borderId="0" xfId="0" applyFill="1" applyBorder="1" applyProtection="1"/>
    <xf numFmtId="0" fontId="11" fillId="0" borderId="0" xfId="3" applyFill="1" applyBorder="1" applyAlignment="1" applyProtection="1">
      <alignment horizontal="center" vertical="center"/>
    </xf>
    <xf numFmtId="0" fontId="4" fillId="0" borderId="0" xfId="0" applyFont="1" applyFill="1" applyBorder="1" applyProtection="1"/>
    <xf numFmtId="0" fontId="0" fillId="0" borderId="0" xfId="0" applyBorder="1" applyAlignment="1" applyProtection="1">
      <alignment wrapText="1"/>
    </xf>
    <xf numFmtId="0" fontId="2" fillId="0" borderId="0" xfId="0" applyFont="1" applyBorder="1" applyProtection="1"/>
    <xf numFmtId="0" fontId="13" fillId="0" borderId="0" xfId="0" applyFont="1" applyBorder="1" applyProtection="1"/>
    <xf numFmtId="0" fontId="0" fillId="8" borderId="3" xfId="0" applyFill="1" applyBorder="1" applyProtection="1"/>
    <xf numFmtId="0" fontId="0" fillId="8" borderId="0" xfId="0" applyFill="1" applyBorder="1" applyProtection="1"/>
    <xf numFmtId="0" fontId="0" fillId="8" borderId="4" xfId="0" applyFill="1" applyBorder="1" applyProtection="1"/>
    <xf numFmtId="0" fontId="0" fillId="0" borderId="0" xfId="0" applyFill="1" applyProtection="1"/>
    <xf numFmtId="0" fontId="0" fillId="0" borderId="0" xfId="0" applyBorder="1" applyAlignment="1" applyProtection="1">
      <alignment horizontal="center"/>
    </xf>
    <xf numFmtId="0" fontId="0" fillId="0" borderId="5" xfId="0" applyBorder="1" applyProtection="1"/>
    <xf numFmtId="0" fontId="0" fillId="0" borderId="6" xfId="0" applyBorder="1" applyProtection="1"/>
    <xf numFmtId="0" fontId="5" fillId="0" borderId="0" xfId="0" applyFont="1" applyBorder="1" applyAlignment="1" applyProtection="1">
      <alignment horizontal="left"/>
    </xf>
    <xf numFmtId="0" fontId="0" fillId="0" borderId="0" xfId="0" applyFill="1" applyBorder="1" applyAlignment="1" applyProtection="1">
      <alignment horizontal="center" vertical="center" textRotation="45"/>
    </xf>
    <xf numFmtId="0" fontId="0" fillId="0" borderId="0" xfId="0" applyFont="1" applyBorder="1" applyProtection="1"/>
    <xf numFmtId="0" fontId="7" fillId="0" borderId="0" xfId="1" applyFont="1" applyBorder="1" applyAlignment="1" applyProtection="1">
      <alignment horizontal="center" vertical="center"/>
    </xf>
    <xf numFmtId="49" fontId="7" fillId="0" borderId="0" xfId="1" applyNumberFormat="1" applyFont="1" applyFill="1" applyBorder="1" applyAlignment="1" applyProtection="1">
      <alignment horizontal="center" vertical="center"/>
    </xf>
    <xf numFmtId="0" fontId="0" fillId="0" borderId="0" xfId="0" applyFont="1" applyBorder="1" applyAlignment="1" applyProtection="1">
      <alignment horizontal="center"/>
    </xf>
    <xf numFmtId="0" fontId="7" fillId="0" borderId="0" xfId="1" applyFont="1" applyFill="1" applyBorder="1" applyAlignment="1" applyProtection="1">
      <alignment vertical="center"/>
    </xf>
    <xf numFmtId="0" fontId="0" fillId="0" borderId="0" xfId="0" applyFont="1" applyFill="1" applyBorder="1" applyAlignment="1" applyProtection="1">
      <alignment horizontal="center" vertical="center" textRotation="45"/>
    </xf>
    <xf numFmtId="2" fontId="0" fillId="0" borderId="0" xfId="0" applyNumberFormat="1" applyFont="1" applyBorder="1" applyAlignment="1" applyProtection="1">
      <alignment horizontal="center" vertical="center" wrapText="1"/>
    </xf>
    <xf numFmtId="0" fontId="0" fillId="0" borderId="0" xfId="0" applyBorder="1" applyAlignment="1" applyProtection="1">
      <alignment horizontal="left"/>
    </xf>
    <xf numFmtId="0" fontId="0" fillId="0" borderId="0" xfId="0" applyFont="1" applyBorder="1" applyAlignment="1" applyProtection="1">
      <alignment horizontal="center" vertical="center" wrapText="1"/>
    </xf>
    <xf numFmtId="8" fontId="0" fillId="0" borderId="0" xfId="0" applyNumberFormat="1" applyProtection="1"/>
    <xf numFmtId="0" fontId="7" fillId="0" borderId="0" xfId="1" applyFont="1" applyFill="1" applyBorder="1" applyAlignment="1" applyProtection="1">
      <alignment horizontal="center" vertical="center"/>
    </xf>
    <xf numFmtId="0" fontId="14" fillId="0" borderId="0" xfId="0" applyFont="1" applyBorder="1" applyAlignment="1" applyProtection="1"/>
    <xf numFmtId="6" fontId="0" fillId="0" borderId="0" xfId="0" applyNumberFormat="1" applyBorder="1" applyProtection="1"/>
    <xf numFmtId="6" fontId="0" fillId="0" borderId="0" xfId="0" applyNumberFormat="1" applyProtection="1"/>
    <xf numFmtId="6" fontId="0" fillId="0" borderId="0" xfId="0" applyNumberFormat="1" applyBorder="1" applyAlignment="1" applyProtection="1">
      <alignment wrapText="1"/>
    </xf>
    <xf numFmtId="6" fontId="0" fillId="0" borderId="0" xfId="0" applyNumberFormat="1" applyAlignment="1" applyProtection="1">
      <alignment wrapText="1"/>
    </xf>
    <xf numFmtId="0" fontId="0" fillId="0" borderId="0" xfId="0" applyAlignment="1" applyProtection="1">
      <alignment wrapText="1"/>
    </xf>
    <xf numFmtId="8" fontId="0" fillId="0" borderId="0" xfId="0" applyNumberFormat="1" applyAlignment="1" applyProtection="1">
      <alignment wrapText="1"/>
    </xf>
    <xf numFmtId="0" fontId="0" fillId="14" borderId="3" xfId="0" applyFill="1" applyBorder="1" applyAlignment="1" applyProtection="1">
      <alignment horizontal="center"/>
    </xf>
    <xf numFmtId="0" fontId="0" fillId="14" borderId="0" xfId="0" applyFill="1" applyBorder="1" applyAlignment="1" applyProtection="1">
      <alignment horizontal="center"/>
    </xf>
    <xf numFmtId="164" fontId="0" fillId="0" borderId="0" xfId="0" applyNumberFormat="1" applyBorder="1" applyAlignment="1" applyProtection="1">
      <alignment horizontal="center"/>
    </xf>
    <xf numFmtId="164" fontId="0" fillId="0" borderId="6" xfId="0" applyNumberFormat="1" applyBorder="1" applyAlignment="1" applyProtection="1">
      <alignment horizontal="center"/>
    </xf>
    <xf numFmtId="164" fontId="7" fillId="0" borderId="0" xfId="0" applyNumberFormat="1" applyFont="1" applyBorder="1" applyProtection="1"/>
    <xf numFmtId="164" fontId="0" fillId="0" borderId="0" xfId="0" applyNumberFormat="1" applyBorder="1" applyProtection="1"/>
    <xf numFmtId="0" fontId="3" fillId="0" borderId="3" xfId="0" applyFont="1" applyBorder="1" applyProtection="1"/>
    <xf numFmtId="8" fontId="0" fillId="0" borderId="0" xfId="0" applyNumberFormat="1" applyBorder="1" applyProtection="1"/>
    <xf numFmtId="0" fontId="1" fillId="0" borderId="0" xfId="6" applyFill="1" applyBorder="1" applyAlignment="1" applyProtection="1">
      <alignment horizontal="center"/>
    </xf>
    <xf numFmtId="0" fontId="0" fillId="0" borderId="0" xfId="0" applyFill="1" applyBorder="1" applyAlignment="1" applyProtection="1">
      <alignment horizontal="center"/>
    </xf>
    <xf numFmtId="0" fontId="0" fillId="18" borderId="0" xfId="0" applyFont="1" applyFill="1" applyBorder="1" applyAlignment="1" applyProtection="1">
      <alignment horizontal="center"/>
      <protection locked="0"/>
    </xf>
    <xf numFmtId="0" fontId="9" fillId="0" borderId="0" xfId="0" applyFont="1" applyBorder="1" applyProtection="1"/>
    <xf numFmtId="0" fontId="7" fillId="18" borderId="0" xfId="0" applyFont="1" applyFill="1" applyBorder="1" applyAlignment="1" applyProtection="1">
      <alignment horizontal="center"/>
      <protection locked="0"/>
    </xf>
    <xf numFmtId="0" fontId="5" fillId="0" borderId="0" xfId="0" applyFont="1" applyBorder="1" applyAlignment="1" applyProtection="1"/>
    <xf numFmtId="2" fontId="7" fillId="0" borderId="0" xfId="1" applyNumberFormat="1" applyFont="1" applyBorder="1" applyAlignment="1" applyProtection="1">
      <alignment horizontal="center" vertical="center"/>
    </xf>
    <xf numFmtId="2" fontId="16" fillId="0" borderId="0" xfId="1" applyNumberFormat="1" applyFont="1" applyFill="1" applyBorder="1" applyAlignment="1" applyProtection="1">
      <alignment horizontal="center" vertical="center"/>
    </xf>
    <xf numFmtId="2" fontId="16" fillId="0" borderId="0" xfId="1" applyNumberFormat="1" applyFont="1" applyBorder="1" applyAlignment="1" applyProtection="1">
      <alignment horizontal="center" vertical="center" wrapText="1"/>
    </xf>
    <xf numFmtId="0" fontId="1" fillId="0" borderId="0" xfId="0" applyFont="1" applyBorder="1" applyProtection="1"/>
    <xf numFmtId="2" fontId="0" fillId="0" borderId="0" xfId="0" applyNumberFormat="1" applyBorder="1" applyProtection="1"/>
    <xf numFmtId="2" fontId="0" fillId="0" borderId="0" xfId="0" applyNumberFormat="1" applyBorder="1" applyAlignment="1" applyProtection="1">
      <alignment horizontal="center"/>
    </xf>
    <xf numFmtId="0" fontId="0" fillId="0" borderId="13" xfId="0" applyFont="1" applyBorder="1" applyProtection="1"/>
    <xf numFmtId="0" fontId="0" fillId="0" borderId="14" xfId="0" applyFont="1" applyBorder="1" applyProtection="1"/>
    <xf numFmtId="0" fontId="7" fillId="0" borderId="16" xfId="1" applyFont="1" applyFill="1" applyBorder="1" applyAlignment="1" applyProtection="1">
      <alignment vertical="center"/>
    </xf>
    <xf numFmtId="0" fontId="0" fillId="0" borderId="16" xfId="0" applyFont="1" applyBorder="1" applyAlignment="1" applyProtection="1">
      <alignment horizontal="center" vertical="center" wrapText="1"/>
    </xf>
    <xf numFmtId="0" fontId="0" fillId="0" borderId="16" xfId="0" applyFont="1" applyBorder="1" applyProtection="1"/>
    <xf numFmtId="0" fontId="0" fillId="0" borderId="17" xfId="0" applyFont="1" applyBorder="1" applyProtection="1"/>
    <xf numFmtId="0" fontId="0" fillId="0" borderId="14" xfId="0" applyBorder="1" applyProtection="1"/>
    <xf numFmtId="0" fontId="0" fillId="0" borderId="16" xfId="0" applyBorder="1" applyProtection="1"/>
    <xf numFmtId="0" fontId="0" fillId="0" borderId="17" xfId="0" applyBorder="1" applyProtection="1"/>
    <xf numFmtId="0" fontId="7" fillId="0" borderId="10" xfId="1" applyFont="1" applyBorder="1" applyAlignment="1" applyProtection="1">
      <alignment horizontal="center" vertical="center"/>
    </xf>
    <xf numFmtId="49" fontId="7" fillId="0" borderId="11" xfId="1" applyNumberFormat="1" applyFont="1" applyFill="1" applyBorder="1" applyAlignment="1" applyProtection="1">
      <alignment horizontal="center" vertical="center"/>
    </xf>
    <xf numFmtId="2" fontId="0" fillId="0" borderId="11" xfId="0" applyNumberFormat="1" applyFont="1" applyBorder="1" applyAlignment="1" applyProtection="1">
      <alignment horizontal="center"/>
    </xf>
    <xf numFmtId="0" fontId="7" fillId="0" borderId="13" xfId="1" applyFont="1" applyFill="1" applyBorder="1" applyAlignment="1" applyProtection="1">
      <alignment horizontal="center" vertical="center"/>
    </xf>
    <xf numFmtId="2" fontId="7" fillId="0" borderId="13" xfId="1" applyNumberFormat="1" applyFont="1" applyBorder="1" applyAlignment="1" applyProtection="1">
      <alignment horizontal="center" vertical="center"/>
    </xf>
    <xf numFmtId="0" fontId="7" fillId="0" borderId="15" xfId="1" applyFont="1" applyFill="1" applyBorder="1" applyAlignment="1" applyProtection="1">
      <alignment horizontal="center" vertical="center"/>
    </xf>
    <xf numFmtId="0" fontId="0" fillId="0" borderId="10" xfId="0" applyBorder="1" applyAlignment="1" applyProtection="1">
      <alignment horizontal="center"/>
    </xf>
    <xf numFmtId="2" fontId="0" fillId="0" borderId="11" xfId="0" applyNumberFormat="1" applyBorder="1" applyAlignment="1" applyProtection="1">
      <alignment horizontal="center"/>
    </xf>
    <xf numFmtId="0" fontId="0" fillId="0" borderId="13" xfId="0" applyBorder="1" applyAlignment="1" applyProtection="1">
      <alignment horizontal="center"/>
    </xf>
    <xf numFmtId="2" fontId="0" fillId="0" borderId="13" xfId="0" applyNumberFormat="1" applyBorder="1" applyAlignment="1" applyProtection="1">
      <alignment horizontal="center"/>
    </xf>
    <xf numFmtId="0" fontId="0" fillId="0" borderId="15" xfId="0" applyBorder="1" applyAlignment="1" applyProtection="1">
      <alignment horizontal="center"/>
    </xf>
    <xf numFmtId="0" fontId="0" fillId="0" borderId="4" xfId="0" applyBorder="1" applyProtection="1"/>
    <xf numFmtId="0" fontId="2" fillId="21" borderId="0" xfId="0" applyFont="1" applyFill="1" applyBorder="1" applyProtection="1"/>
    <xf numFmtId="0" fontId="4" fillId="20" borderId="4" xfId="0" applyFont="1" applyFill="1" applyBorder="1" applyAlignment="1">
      <alignment vertical="center"/>
    </xf>
    <xf numFmtId="0" fontId="2" fillId="20" borderId="4" xfId="0" applyFont="1" applyFill="1" applyBorder="1" applyAlignment="1">
      <alignment vertical="center" wrapText="1"/>
    </xf>
    <xf numFmtId="0" fontId="0" fillId="20" borderId="3" xfId="0" applyFill="1" applyBorder="1" applyAlignment="1">
      <alignment horizontal="center" vertical="top"/>
    </xf>
    <xf numFmtId="0" fontId="21" fillId="20" borderId="3" xfId="8" applyFont="1" applyFill="1" applyBorder="1" applyAlignment="1">
      <alignment vertical="center"/>
    </xf>
    <xf numFmtId="0" fontId="7" fillId="0" borderId="0" xfId="1" applyFont="1" applyBorder="1" applyAlignment="1" applyProtection="1">
      <alignment horizontal="left" vertical="center"/>
    </xf>
    <xf numFmtId="0" fontId="0" fillId="0" borderId="11" xfId="0" applyBorder="1" applyAlignment="1" applyProtection="1">
      <alignment horizontal="center"/>
    </xf>
    <xf numFmtId="0" fontId="0" fillId="0" borderId="6" xfId="0" applyFill="1" applyBorder="1" applyProtection="1"/>
    <xf numFmtId="164" fontId="0" fillId="0" borderId="0" xfId="0" applyNumberFormat="1" applyFill="1" applyAlignment="1">
      <alignment horizontal="center"/>
    </xf>
    <xf numFmtId="0" fontId="2" fillId="0" borderId="0" xfId="0" applyFont="1" applyFill="1" applyAlignment="1">
      <alignment horizontal="left"/>
    </xf>
    <xf numFmtId="0" fontId="2" fillId="0" borderId="0" xfId="0" applyFont="1" applyAlignment="1">
      <alignment horizontal="left"/>
    </xf>
    <xf numFmtId="14" fontId="2" fillId="0" borderId="0" xfId="0" applyNumberFormat="1" applyFont="1" applyAlignment="1">
      <alignment horizontal="left"/>
    </xf>
    <xf numFmtId="0" fontId="0" fillId="0" borderId="0" xfId="0" applyAlignment="1">
      <alignment horizontal="left"/>
    </xf>
    <xf numFmtId="164" fontId="0" fillId="22" borderId="0" xfId="0" applyNumberFormat="1" applyFill="1" applyAlignment="1">
      <alignment horizontal="center"/>
    </xf>
    <xf numFmtId="0" fontId="16" fillId="2" borderId="0" xfId="1" applyFont="1" applyFill="1" applyBorder="1" applyAlignment="1" applyProtection="1">
      <alignment horizontal="center" vertical="center"/>
    </xf>
    <xf numFmtId="0" fontId="7" fillId="0" borderId="0" xfId="1" applyFont="1" applyBorder="1" applyAlignment="1" applyProtection="1">
      <alignment horizontal="left" vertical="center"/>
    </xf>
    <xf numFmtId="0" fontId="7" fillId="2" borderId="0"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164" fontId="0" fillId="0" borderId="0" xfId="0" applyNumberFormat="1" applyAlignment="1">
      <alignment horizontal="left"/>
    </xf>
    <xf numFmtId="0" fontId="8" fillId="0" borderId="0" xfId="1" applyFont="1" applyFill="1" applyBorder="1" applyAlignment="1" applyProtection="1">
      <alignment horizontal="center" vertical="center" wrapText="1"/>
    </xf>
    <xf numFmtId="2" fontId="8" fillId="0" borderId="0" xfId="1" applyNumberFormat="1" applyFont="1" applyFill="1" applyBorder="1" applyAlignment="1" applyProtection="1">
      <alignment horizontal="center" vertical="center" wrapText="1"/>
    </xf>
    <xf numFmtId="1" fontId="10" fillId="0" borderId="0" xfId="1" applyNumberFormat="1" applyFont="1" applyFill="1" applyBorder="1" applyAlignment="1" applyProtection="1">
      <alignment horizontal="center" vertical="center" wrapText="1"/>
    </xf>
    <xf numFmtId="0" fontId="14" fillId="0" borderId="0" xfId="0" applyFont="1" applyBorder="1" applyAlignment="1" applyProtection="1">
      <alignment wrapText="1"/>
    </xf>
    <xf numFmtId="0" fontId="4" fillId="0" borderId="0" xfId="0" applyFont="1" applyBorder="1" applyAlignment="1" applyProtection="1">
      <alignment wrapText="1"/>
    </xf>
    <xf numFmtId="0" fontId="0" fillId="0" borderId="0" xfId="0" applyFont="1" applyFill="1" applyBorder="1" applyAlignment="1" applyProtection="1">
      <alignment horizontal="center"/>
      <protection locked="0"/>
    </xf>
    <xf numFmtId="0" fontId="2" fillId="0" borderId="0" xfId="0" applyFont="1" applyFill="1" applyBorder="1" applyProtection="1"/>
    <xf numFmtId="6" fontId="0" fillId="0" borderId="0" xfId="0" applyNumberFormat="1" applyFill="1" applyProtection="1"/>
    <xf numFmtId="8" fontId="0" fillId="0" borderId="0" xfId="0" applyNumberFormat="1" applyFill="1" applyProtection="1"/>
    <xf numFmtId="0" fontId="2" fillId="14" borderId="0" xfId="0" applyFont="1" applyFill="1" applyBorder="1" applyAlignment="1" applyProtection="1">
      <alignment horizontal="center"/>
    </xf>
    <xf numFmtId="0" fontId="2" fillId="17" borderId="18" xfId="5" applyFont="1" applyFill="1" applyBorder="1" applyAlignment="1" applyProtection="1">
      <alignment horizontal="center" vertical="center" wrapText="1"/>
    </xf>
    <xf numFmtId="0" fontId="2" fillId="13" borderId="19" xfId="6" applyFont="1" applyBorder="1" applyAlignment="1" applyProtection="1">
      <alignment horizontal="center" vertical="center" wrapText="1"/>
    </xf>
    <xf numFmtId="0" fontId="2" fillId="19" borderId="19" xfId="0" applyFont="1" applyFill="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14" borderId="3" xfId="0" applyFont="1" applyFill="1" applyBorder="1" applyAlignment="1" applyProtection="1">
      <alignment horizontal="center"/>
    </xf>
    <xf numFmtId="164" fontId="0" fillId="0" borderId="3" xfId="0" applyNumberFormat="1" applyBorder="1" applyAlignment="1" applyProtection="1">
      <alignment horizontal="center"/>
    </xf>
    <xf numFmtId="0" fontId="0" fillId="0" borderId="4" xfId="0" applyBorder="1" applyAlignment="1" applyProtection="1">
      <alignment horizontal="center"/>
    </xf>
    <xf numFmtId="164" fontId="0" fillId="0" borderId="5" xfId="0" applyNumberFormat="1" applyBorder="1" applyAlignment="1" applyProtection="1">
      <alignment horizontal="center"/>
    </xf>
    <xf numFmtId="0" fontId="0" fillId="0" borderId="2" xfId="0" applyBorder="1" applyAlignment="1" applyProtection="1">
      <alignment horizontal="center"/>
    </xf>
    <xf numFmtId="0" fontId="2" fillId="13" borderId="18" xfId="6" applyFont="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0" fillId="14" borderId="4" xfId="0" applyFill="1" applyBorder="1" applyAlignment="1" applyProtection="1">
      <alignment horizontal="center"/>
    </xf>
    <xf numFmtId="0" fontId="2" fillId="7" borderId="18" xfId="0" applyFont="1" applyFill="1" applyBorder="1" applyAlignment="1" applyProtection="1">
      <alignment horizontal="center" vertical="center" wrapText="1"/>
    </xf>
    <xf numFmtId="0" fontId="3" fillId="0" borderId="18" xfId="0" applyFont="1" applyBorder="1" applyProtection="1"/>
    <xf numFmtId="0" fontId="7" fillId="0" borderId="19" xfId="1" applyFont="1" applyFill="1" applyBorder="1" applyAlignment="1" applyProtection="1">
      <alignment horizontal="center" vertical="center"/>
    </xf>
    <xf numFmtId="0" fontId="7" fillId="0" borderId="19" xfId="1" applyFont="1" applyFill="1" applyBorder="1" applyAlignment="1" applyProtection="1">
      <alignment vertical="center"/>
    </xf>
    <xf numFmtId="0" fontId="1" fillId="0" borderId="19" xfId="0" applyFont="1" applyBorder="1" applyProtection="1"/>
    <xf numFmtId="0" fontId="0" fillId="0" borderId="19" xfId="0" applyBorder="1" applyProtection="1"/>
    <xf numFmtId="0" fontId="0" fillId="0" borderId="20" xfId="0" applyBorder="1" applyProtection="1"/>
    <xf numFmtId="6" fontId="0" fillId="0" borderId="4" xfId="0" applyNumberFormat="1" applyBorder="1" applyProtection="1"/>
    <xf numFmtId="8" fontId="0" fillId="0" borderId="4" xfId="0" applyNumberFormat="1" applyBorder="1" applyProtection="1"/>
    <xf numFmtId="0" fontId="0" fillId="0" borderId="5" xfId="0" applyFill="1" applyBorder="1" applyProtection="1"/>
    <xf numFmtId="0" fontId="2" fillId="0" borderId="6" xfId="0" applyFont="1" applyFill="1" applyBorder="1" applyProtection="1"/>
    <xf numFmtId="0" fontId="0" fillId="0" borderId="6" xfId="0" applyFont="1" applyFill="1" applyBorder="1" applyAlignment="1" applyProtection="1">
      <alignment horizontal="center"/>
      <protection locked="0"/>
    </xf>
    <xf numFmtId="0" fontId="4" fillId="0" borderId="6" xfId="0" applyFont="1" applyFill="1" applyBorder="1" applyAlignment="1" applyProtection="1">
      <alignment wrapText="1"/>
    </xf>
    <xf numFmtId="0" fontId="0" fillId="0" borderId="6" xfId="0" applyFill="1" applyBorder="1" applyAlignment="1">
      <alignment wrapText="1"/>
    </xf>
    <xf numFmtId="0" fontId="0" fillId="0" borderId="2" xfId="0" applyFill="1" applyBorder="1" applyProtection="1"/>
    <xf numFmtId="0" fontId="16" fillId="2" borderId="0" xfId="1" applyFont="1" applyFill="1" applyBorder="1" applyAlignment="1" applyProtection="1">
      <alignment horizontal="left" vertical="center"/>
    </xf>
    <xf numFmtId="0" fontId="16" fillId="6" borderId="0" xfId="1" applyFont="1" applyFill="1" applyBorder="1" applyAlignment="1" applyProtection="1">
      <alignment horizontal="center" vertical="center"/>
    </xf>
    <xf numFmtId="0" fontId="16" fillId="0" borderId="0" xfId="0" applyFont="1" applyBorder="1" applyAlignment="1" applyProtection="1">
      <alignment horizontal="center"/>
    </xf>
    <xf numFmtId="0" fontId="27" fillId="0" borderId="0" xfId="0" applyFont="1" applyBorder="1" applyProtection="1"/>
    <xf numFmtId="0" fontId="2" fillId="18" borderId="0" xfId="0" applyFont="1" applyFill="1" applyBorder="1" applyAlignment="1" applyProtection="1">
      <alignment horizontal="center"/>
      <protection locked="0"/>
    </xf>
    <xf numFmtId="0" fontId="0" fillId="0" borderId="3" xfId="0" applyBorder="1" applyAlignment="1" applyProtection="1">
      <alignment horizontal="center"/>
    </xf>
    <xf numFmtId="0" fontId="2" fillId="17" borderId="21" xfId="5" applyFont="1" applyFill="1" applyBorder="1" applyAlignment="1" applyProtection="1">
      <alignment horizontal="center" vertical="center" wrapText="1"/>
    </xf>
    <xf numFmtId="0" fontId="0" fillId="14" borderId="22" xfId="0" applyFill="1" applyBorder="1" applyAlignment="1" applyProtection="1">
      <alignment horizontal="center"/>
    </xf>
    <xf numFmtId="164" fontId="0" fillId="0" borderId="22" xfId="0" applyNumberFormat="1" applyBorder="1" applyAlignment="1" applyProtection="1">
      <alignment horizontal="center"/>
    </xf>
    <xf numFmtId="164" fontId="0" fillId="0" borderId="23" xfId="0" applyNumberFormat="1" applyBorder="1" applyAlignment="1" applyProtection="1">
      <alignment horizontal="center"/>
    </xf>
    <xf numFmtId="0" fontId="2" fillId="14" borderId="22" xfId="0" applyFont="1" applyFill="1" applyBorder="1" applyAlignment="1" applyProtection="1">
      <alignment horizontal="center"/>
    </xf>
    <xf numFmtId="0" fontId="25" fillId="20" borderId="3" xfId="0" applyFont="1" applyFill="1" applyBorder="1" applyAlignment="1">
      <alignment wrapText="1"/>
    </xf>
    <xf numFmtId="0" fontId="26" fillId="20" borderId="4" xfId="0" applyFont="1" applyFill="1" applyBorder="1" applyAlignment="1"/>
    <xf numFmtId="0" fontId="3" fillId="9" borderId="7" xfId="0" applyFont="1" applyFill="1" applyBorder="1" applyAlignment="1">
      <alignment horizontal="center" wrapText="1"/>
    </xf>
    <xf numFmtId="0" fontId="20" fillId="9" borderId="9" xfId="0" applyFont="1" applyFill="1" applyBorder="1" applyAlignment="1">
      <alignment horizontal="center"/>
    </xf>
    <xf numFmtId="0" fontId="23" fillId="20" borderId="3" xfId="4" applyFont="1" applyFill="1" applyBorder="1" applyAlignment="1">
      <alignment vertical="center" wrapText="1"/>
    </xf>
    <xf numFmtId="0" fontId="0" fillId="20" borderId="4" xfId="0" applyFill="1" applyBorder="1" applyAlignment="1">
      <alignment vertical="center"/>
    </xf>
    <xf numFmtId="0" fontId="24" fillId="20" borderId="3" xfId="4" applyFont="1" applyFill="1" applyBorder="1" applyAlignment="1">
      <alignment vertical="center" wrapText="1"/>
    </xf>
    <xf numFmtId="0" fontId="22" fillId="20" borderId="3" xfId="3" applyFont="1" applyFill="1" applyBorder="1" applyAlignment="1">
      <alignment vertical="center"/>
    </xf>
    <xf numFmtId="0" fontId="21" fillId="20" borderId="3" xfId="8" applyFont="1" applyFill="1" applyBorder="1" applyAlignment="1">
      <alignment vertical="center"/>
    </xf>
    <xf numFmtId="0" fontId="2" fillId="4" borderId="3" xfId="0" applyFont="1" applyFill="1" applyBorder="1" applyAlignment="1" applyProtection="1">
      <alignment horizontal="center" vertical="center" textRotation="45"/>
    </xf>
    <xf numFmtId="0" fontId="0" fillId="0" borderId="3" xfId="0" applyBorder="1" applyAlignment="1"/>
    <xf numFmtId="0" fontId="17" fillId="2" borderId="7" xfId="0" applyFont="1" applyFill="1" applyBorder="1" applyAlignment="1" applyProtection="1">
      <alignment horizontal="center"/>
    </xf>
    <xf numFmtId="0" fontId="17" fillId="2" borderId="8" xfId="0" applyFont="1" applyFill="1" applyBorder="1" applyAlignment="1" applyProtection="1">
      <alignment horizontal="center"/>
    </xf>
    <xf numFmtId="0" fontId="18" fillId="0" borderId="8" xfId="0" applyFont="1" applyBorder="1" applyAlignment="1" applyProtection="1">
      <alignment horizontal="center"/>
    </xf>
    <xf numFmtId="0" fontId="18" fillId="0" borderId="9" xfId="0" applyFont="1" applyBorder="1" applyAlignment="1" applyProtection="1">
      <alignment horizontal="center"/>
    </xf>
    <xf numFmtId="0" fontId="2" fillId="5" borderId="3" xfId="0" applyFont="1" applyFill="1" applyBorder="1" applyAlignment="1" applyProtection="1">
      <alignment horizontal="center" vertical="center" textRotation="45"/>
    </xf>
    <xf numFmtId="0" fontId="14" fillId="0" borderId="0" xfId="0" applyFont="1" applyBorder="1" applyAlignment="1" applyProtection="1">
      <alignment horizontal="center"/>
    </xf>
    <xf numFmtId="0" fontId="2" fillId="3" borderId="0" xfId="0" applyFont="1" applyFill="1" applyBorder="1" applyAlignment="1" applyProtection="1">
      <alignment horizontal="left"/>
    </xf>
    <xf numFmtId="0" fontId="4" fillId="0" borderId="0" xfId="0" applyFont="1" applyBorder="1" applyAlignment="1" applyProtection="1">
      <alignment horizontal="left"/>
    </xf>
    <xf numFmtId="0" fontId="2" fillId="3" borderId="0" xfId="0" applyFont="1" applyFill="1" applyBorder="1" applyAlignment="1" applyProtection="1">
      <alignment horizontal="center"/>
    </xf>
    <xf numFmtId="0" fontId="4" fillId="0" borderId="0" xfId="0" applyFont="1" applyBorder="1" applyAlignment="1" applyProtection="1">
      <alignment horizontal="center"/>
    </xf>
    <xf numFmtId="0" fontId="14" fillId="0" borderId="0" xfId="0" applyFont="1" applyBorder="1" applyAlignment="1" applyProtection="1">
      <alignment horizontal="left"/>
    </xf>
    <xf numFmtId="0" fontId="4" fillId="0" borderId="11" xfId="0" applyFont="1" applyBorder="1" applyAlignment="1" applyProtection="1">
      <alignment horizontal="center"/>
    </xf>
    <xf numFmtId="0" fontId="4" fillId="0" borderId="12" xfId="0" applyFont="1" applyBorder="1" applyAlignment="1" applyProtection="1">
      <alignment horizontal="center"/>
    </xf>
    <xf numFmtId="0" fontId="4" fillId="0" borderId="14" xfId="0" applyFont="1" applyBorder="1" applyAlignment="1" applyProtection="1">
      <alignment horizontal="center"/>
    </xf>
    <xf numFmtId="0" fontId="0" fillId="0" borderId="11" xfId="0" applyBorder="1" applyAlignment="1" applyProtection="1">
      <alignment horizontal="center"/>
    </xf>
    <xf numFmtId="0" fontId="0" fillId="0" borderId="12" xfId="0" applyBorder="1" applyAlignment="1"/>
    <xf numFmtId="0" fontId="0" fillId="0" borderId="0" xfId="0" applyBorder="1" applyAlignment="1" applyProtection="1"/>
    <xf numFmtId="0" fontId="0" fillId="0" borderId="14" xfId="0" applyBorder="1" applyAlignment="1"/>
    <xf numFmtId="0" fontId="2" fillId="14" borderId="0" xfId="0" applyFont="1" applyFill="1" applyAlignment="1">
      <alignment horizontal="center"/>
    </xf>
    <xf numFmtId="0" fontId="2" fillId="15" borderId="0" xfId="0" applyFont="1" applyFill="1" applyAlignment="1">
      <alignment horizontal="center"/>
    </xf>
    <xf numFmtId="0" fontId="2" fillId="9" borderId="0" xfId="0" applyFont="1" applyFill="1" applyAlignment="1">
      <alignment horizontal="center"/>
    </xf>
    <xf numFmtId="0" fontId="2" fillId="16" borderId="0" xfId="0" applyFont="1" applyFill="1" applyAlignment="1">
      <alignment horizontal="center"/>
    </xf>
    <xf numFmtId="0" fontId="0" fillId="0" borderId="4" xfId="0" applyFont="1" applyFill="1" applyBorder="1" applyAlignment="1">
      <alignment vertical="center" wrapText="1"/>
    </xf>
    <xf numFmtId="0" fontId="0" fillId="0" borderId="6" xfId="0" applyFill="1" applyBorder="1" applyAlignment="1" applyProtection="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pplyProtection="1">
      <alignment wrapText="1"/>
    </xf>
    <xf numFmtId="164" fontId="0" fillId="0" borderId="19" xfId="0" applyNumberFormat="1" applyBorder="1" applyAlignment="1" applyProtection="1">
      <alignment horizontal="center"/>
    </xf>
    <xf numFmtId="0" fontId="0" fillId="0" borderId="5" xfId="0" applyBorder="1" applyAlignment="1" applyProtection="1">
      <alignment horizontal="center"/>
    </xf>
  </cellXfs>
  <cellStyles count="9">
    <cellStyle name="20% - Accent2" xfId="5" builtinId="34"/>
    <cellStyle name="40% - Accent5" xfId="6" builtinId="47"/>
    <cellStyle name="Calculation" xfId="4" builtinId="22"/>
    <cellStyle name="Currency 2" xfId="2" xr:uid="{00000000-0005-0000-0000-000003000000}"/>
    <cellStyle name="Neutral" xfId="3" builtinId="28"/>
    <cellStyle name="Normal" xfId="0" builtinId="0"/>
    <cellStyle name="Normal 2" xfId="1" xr:uid="{00000000-0005-0000-0000-000006000000}"/>
    <cellStyle name="Normal 4 2" xfId="7" xr:uid="{00000000-0005-0000-0000-000007000000}"/>
    <cellStyle name="Warning Text" xfId="8" builtinId="1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FFFF66"/>
      <color rgb="FFFF99CC"/>
      <color rgb="FFFFCCCC"/>
      <color rgb="FFFFFFFF"/>
      <color rgb="FFFFCC99"/>
      <color rgb="FFCCCCFF"/>
      <color rgb="FFFFFFCC"/>
      <color rgb="FF66FFCC"/>
      <color rgb="FFCC99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NRA Colours">
      <a:dk1>
        <a:sysClr val="windowText" lastClr="000000"/>
      </a:dk1>
      <a:lt1>
        <a:srgbClr val="000000"/>
      </a:lt1>
      <a:dk2>
        <a:srgbClr val="C5EFFF"/>
      </a:dk2>
      <a:lt2>
        <a:srgbClr val="82C8F0"/>
      </a:lt2>
      <a:accent1>
        <a:srgbClr val="82C8F0"/>
      </a:accent1>
      <a:accent2>
        <a:srgbClr val="00A0DC"/>
      </a:accent2>
      <a:accent3>
        <a:srgbClr val="0582B4"/>
      </a:accent3>
      <a:accent4>
        <a:srgbClr val="05648C"/>
      </a:accent4>
      <a:accent5>
        <a:srgbClr val="7AB51D"/>
      </a:accent5>
      <a:accent6>
        <a:srgbClr val="B8B8B8"/>
      </a:accent6>
      <a:hlink>
        <a:srgbClr val="05648C"/>
      </a:hlink>
      <a:folHlink>
        <a:srgbClr val="59595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6"/>
  <sheetViews>
    <sheetView tabSelected="1" view="pageBreakPreview" topLeftCell="B1" zoomScaleNormal="100" zoomScaleSheetLayoutView="100" workbookViewId="0">
      <selection activeCell="C16" sqref="C16"/>
    </sheetView>
  </sheetViews>
  <sheetFormatPr defaultColWidth="8.85546875" defaultRowHeight="15" x14ac:dyDescent="0.25"/>
  <cols>
    <col min="1" max="1" width="1.42578125" style="12" hidden="1" customWidth="1"/>
    <col min="2" max="2" width="4.140625" style="14" customWidth="1"/>
    <col min="3" max="3" width="131.85546875" style="13" bestFit="1" customWidth="1"/>
    <col min="4" max="23" width="9.140625" style="5"/>
  </cols>
  <sheetData>
    <row r="1" spans="1:23" ht="19.5" thickBot="1" x14ac:dyDescent="0.35">
      <c r="A1" s="19"/>
      <c r="B1" s="172" t="s">
        <v>140</v>
      </c>
      <c r="C1" s="173"/>
      <c r="D1" s="8"/>
      <c r="E1" s="8"/>
      <c r="F1" s="8"/>
      <c r="G1" s="8"/>
      <c r="H1" s="8"/>
      <c r="I1" s="8"/>
      <c r="J1" s="8"/>
      <c r="K1" s="8"/>
      <c r="L1" s="8"/>
      <c r="M1" s="8"/>
    </row>
    <row r="2" spans="1:23" x14ac:dyDescent="0.25">
      <c r="A2" s="19"/>
      <c r="B2" s="17"/>
      <c r="C2" s="18"/>
    </row>
    <row r="3" spans="1:23" ht="17.25" x14ac:dyDescent="0.25">
      <c r="A3" s="19"/>
      <c r="B3" s="177" t="s">
        <v>0</v>
      </c>
      <c r="C3" s="175"/>
    </row>
    <row r="4" spans="1:23" ht="30" x14ac:dyDescent="0.25">
      <c r="A4" s="19"/>
      <c r="B4" s="17"/>
      <c r="C4" s="20" t="s">
        <v>141</v>
      </c>
    </row>
    <row r="5" spans="1:23" s="12" customFormat="1" x14ac:dyDescent="0.25">
      <c r="A5" s="19"/>
      <c r="B5" s="17"/>
      <c r="C5" s="20"/>
      <c r="D5" s="5"/>
      <c r="E5" s="5"/>
      <c r="F5" s="5"/>
      <c r="G5" s="5"/>
      <c r="H5" s="5"/>
      <c r="I5" s="5"/>
      <c r="J5" s="5"/>
      <c r="K5" s="5"/>
      <c r="L5" s="5"/>
      <c r="M5" s="5"/>
      <c r="N5" s="5"/>
      <c r="O5" s="5"/>
      <c r="P5" s="5"/>
      <c r="Q5" s="5"/>
      <c r="R5" s="5"/>
      <c r="S5" s="5"/>
      <c r="T5" s="5"/>
      <c r="U5" s="5"/>
      <c r="V5" s="5"/>
      <c r="W5" s="5"/>
    </row>
    <row r="6" spans="1:23" s="12" customFormat="1" x14ac:dyDescent="0.25">
      <c r="A6" s="19"/>
      <c r="B6" s="17"/>
      <c r="C6" s="104" t="s">
        <v>1</v>
      </c>
      <c r="D6" s="5"/>
      <c r="E6" s="5"/>
      <c r="F6" s="5"/>
      <c r="G6" s="5"/>
      <c r="H6" s="5"/>
      <c r="I6" s="5"/>
      <c r="J6" s="5"/>
      <c r="K6" s="5"/>
      <c r="L6" s="5"/>
      <c r="M6" s="5"/>
      <c r="N6" s="5"/>
      <c r="O6" s="5"/>
      <c r="P6" s="5"/>
      <c r="Q6" s="5"/>
      <c r="R6" s="5"/>
      <c r="S6" s="5"/>
      <c r="T6" s="5"/>
      <c r="U6" s="5"/>
      <c r="V6" s="5"/>
      <c r="W6" s="5"/>
    </row>
    <row r="7" spans="1:23" s="12" customFormat="1" ht="30" x14ac:dyDescent="0.25">
      <c r="A7" s="19"/>
      <c r="B7" s="105">
        <v>1</v>
      </c>
      <c r="C7" s="20" t="s">
        <v>142</v>
      </c>
      <c r="D7" s="5"/>
      <c r="E7" s="5"/>
      <c r="F7" s="5"/>
      <c r="G7" s="5"/>
      <c r="H7" s="5"/>
      <c r="I7" s="5"/>
      <c r="J7" s="5"/>
      <c r="K7" s="5"/>
      <c r="L7" s="5"/>
      <c r="M7" s="5"/>
      <c r="N7" s="5"/>
      <c r="O7" s="5"/>
      <c r="P7" s="5"/>
      <c r="Q7" s="5"/>
      <c r="R7" s="5"/>
      <c r="S7" s="5"/>
      <c r="T7" s="5"/>
      <c r="U7" s="5"/>
      <c r="V7" s="5"/>
      <c r="W7" s="5"/>
    </row>
    <row r="8" spans="1:23" ht="30" x14ac:dyDescent="0.25">
      <c r="A8" s="19"/>
      <c r="B8" s="105">
        <v>2</v>
      </c>
      <c r="C8" s="20" t="s">
        <v>143</v>
      </c>
    </row>
    <row r="9" spans="1:23" s="12" customFormat="1" ht="30" x14ac:dyDescent="0.25">
      <c r="A9" s="19"/>
      <c r="B9" s="105"/>
      <c r="C9" s="20" t="s">
        <v>2</v>
      </c>
      <c r="D9" s="5"/>
      <c r="E9" s="5"/>
      <c r="F9" s="5"/>
      <c r="G9" s="5"/>
      <c r="H9" s="5"/>
      <c r="I9" s="5"/>
      <c r="J9" s="5"/>
      <c r="K9" s="5"/>
      <c r="L9" s="5"/>
      <c r="M9" s="5"/>
      <c r="N9" s="5"/>
      <c r="O9" s="5"/>
      <c r="P9" s="5"/>
      <c r="Q9" s="5"/>
      <c r="R9" s="5"/>
      <c r="S9" s="5"/>
      <c r="T9" s="5"/>
      <c r="U9" s="5"/>
      <c r="V9" s="5"/>
      <c r="W9" s="5"/>
    </row>
    <row r="10" spans="1:23" s="12" customFormat="1" x14ac:dyDescent="0.25">
      <c r="A10" s="19"/>
      <c r="B10" s="105"/>
      <c r="C10" s="20"/>
      <c r="D10" s="5"/>
      <c r="E10" s="5"/>
      <c r="F10" s="5"/>
      <c r="G10" s="5"/>
      <c r="H10" s="5"/>
      <c r="I10" s="5"/>
      <c r="J10" s="5"/>
      <c r="K10" s="5"/>
      <c r="L10" s="5"/>
      <c r="M10" s="5"/>
      <c r="N10" s="5"/>
      <c r="O10" s="5"/>
      <c r="P10" s="5"/>
      <c r="Q10" s="5"/>
      <c r="R10" s="5"/>
      <c r="S10" s="5"/>
      <c r="T10" s="5"/>
      <c r="U10" s="5"/>
      <c r="V10" s="5"/>
      <c r="W10" s="5"/>
    </row>
    <row r="11" spans="1:23" s="12" customFormat="1" x14ac:dyDescent="0.25">
      <c r="A11" s="19"/>
      <c r="B11" s="105"/>
      <c r="C11" s="104" t="s">
        <v>3</v>
      </c>
      <c r="D11" s="5"/>
      <c r="E11" s="5"/>
      <c r="F11" s="5"/>
      <c r="G11" s="5"/>
      <c r="H11" s="5"/>
      <c r="I11" s="5"/>
      <c r="J11" s="5"/>
      <c r="K11" s="5"/>
      <c r="L11" s="5"/>
      <c r="M11" s="5"/>
      <c r="N11" s="5"/>
      <c r="O11" s="5"/>
      <c r="P11" s="5"/>
      <c r="Q11" s="5"/>
      <c r="R11" s="5"/>
      <c r="S11" s="5"/>
      <c r="T11" s="5"/>
      <c r="U11" s="5"/>
      <c r="V11" s="5"/>
      <c r="W11" s="5"/>
    </row>
    <row r="12" spans="1:23" ht="30" x14ac:dyDescent="0.25">
      <c r="A12" s="19"/>
      <c r="B12" s="105">
        <v>1</v>
      </c>
      <c r="C12" s="20" t="s">
        <v>4</v>
      </c>
    </row>
    <row r="13" spans="1:23" x14ac:dyDescent="0.25">
      <c r="A13" s="19"/>
      <c r="B13" s="105">
        <v>2</v>
      </c>
      <c r="C13" s="20" t="s">
        <v>5</v>
      </c>
    </row>
    <row r="14" spans="1:23" x14ac:dyDescent="0.25">
      <c r="A14" s="19"/>
      <c r="B14" s="17"/>
      <c r="C14" s="18"/>
    </row>
    <row r="15" spans="1:23" ht="17.25" x14ac:dyDescent="0.25">
      <c r="A15" s="19"/>
      <c r="B15" s="178" t="s">
        <v>6</v>
      </c>
      <c r="C15" s="175"/>
    </row>
    <row r="16" spans="1:23" s="12" customFormat="1" ht="17.25" x14ac:dyDescent="0.25">
      <c r="A16" s="19"/>
      <c r="B16" s="106"/>
      <c r="C16" s="103" t="s">
        <v>7</v>
      </c>
      <c r="D16" s="5"/>
      <c r="E16" s="5"/>
      <c r="F16" s="5"/>
      <c r="G16" s="5"/>
      <c r="H16" s="5"/>
      <c r="I16" s="5"/>
      <c r="J16" s="5"/>
      <c r="K16" s="5"/>
      <c r="L16" s="5"/>
      <c r="M16" s="5"/>
      <c r="N16" s="5"/>
      <c r="O16" s="5"/>
      <c r="P16" s="5"/>
      <c r="Q16" s="5"/>
      <c r="R16" s="5"/>
      <c r="S16" s="5"/>
      <c r="T16" s="5"/>
      <c r="U16" s="5"/>
      <c r="V16" s="5"/>
      <c r="W16" s="5"/>
    </row>
    <row r="17" spans="1:23" s="10" customFormat="1" x14ac:dyDescent="0.25">
      <c r="A17" s="19"/>
      <c r="B17" s="17"/>
      <c r="C17" s="20" t="s">
        <v>8</v>
      </c>
      <c r="D17" s="5"/>
      <c r="E17" s="5"/>
      <c r="F17" s="5"/>
      <c r="G17" s="5"/>
      <c r="H17" s="5"/>
      <c r="I17" s="5"/>
      <c r="J17" s="5"/>
      <c r="K17" s="5"/>
      <c r="L17" s="5"/>
      <c r="M17" s="5"/>
      <c r="N17" s="5"/>
      <c r="O17" s="5"/>
      <c r="P17" s="5"/>
      <c r="Q17" s="5"/>
      <c r="R17" s="5"/>
      <c r="S17" s="5"/>
      <c r="T17" s="5"/>
      <c r="U17" s="5"/>
      <c r="V17" s="5"/>
      <c r="W17" s="5"/>
    </row>
    <row r="18" spans="1:23" ht="45" x14ac:dyDescent="0.25">
      <c r="A18" s="19"/>
      <c r="B18" s="17"/>
      <c r="C18" s="20" t="s">
        <v>9</v>
      </c>
    </row>
    <row r="19" spans="1:23" x14ac:dyDescent="0.25">
      <c r="A19" s="19"/>
      <c r="B19" s="17"/>
      <c r="C19" s="20" t="s">
        <v>10</v>
      </c>
    </row>
    <row r="20" spans="1:23" x14ac:dyDescent="0.25">
      <c r="A20" s="19"/>
      <c r="B20" s="17"/>
      <c r="C20" s="20" t="s">
        <v>11</v>
      </c>
    </row>
    <row r="21" spans="1:23" x14ac:dyDescent="0.25">
      <c r="A21" s="19"/>
      <c r="B21" s="17"/>
      <c r="C21" s="20" t="s">
        <v>12</v>
      </c>
      <c r="D21" s="6"/>
    </row>
    <row r="22" spans="1:23" x14ac:dyDescent="0.25">
      <c r="A22" s="19"/>
      <c r="B22" s="17"/>
      <c r="C22" s="18"/>
      <c r="D22" s="6"/>
    </row>
    <row r="23" spans="1:23" x14ac:dyDescent="0.25">
      <c r="A23" s="19"/>
      <c r="B23" s="174" t="s">
        <v>13</v>
      </c>
      <c r="C23" s="175"/>
      <c r="D23" s="6"/>
    </row>
    <row r="24" spans="1:23" x14ac:dyDescent="0.25">
      <c r="A24" s="19"/>
      <c r="B24" s="17"/>
      <c r="C24" s="21" t="s">
        <v>14</v>
      </c>
    </row>
    <row r="25" spans="1:23" x14ac:dyDescent="0.25">
      <c r="A25" s="19"/>
      <c r="B25" s="17"/>
      <c r="C25" s="18"/>
    </row>
    <row r="26" spans="1:23" x14ac:dyDescent="0.25">
      <c r="A26" s="19"/>
      <c r="B26" s="105">
        <v>1</v>
      </c>
      <c r="C26" s="20" t="s">
        <v>15</v>
      </c>
    </row>
    <row r="27" spans="1:23" ht="45" x14ac:dyDescent="0.25">
      <c r="A27" s="19"/>
      <c r="B27" s="105">
        <v>2</v>
      </c>
      <c r="C27" s="20" t="s">
        <v>16</v>
      </c>
    </row>
    <row r="28" spans="1:23" x14ac:dyDescent="0.25">
      <c r="A28" s="19"/>
      <c r="B28" s="17"/>
      <c r="C28" s="18"/>
    </row>
    <row r="29" spans="1:23" x14ac:dyDescent="0.25">
      <c r="A29" s="19"/>
      <c r="B29" s="176" t="s">
        <v>17</v>
      </c>
      <c r="C29" s="175"/>
    </row>
    <row r="30" spans="1:23" ht="30" x14ac:dyDescent="0.25">
      <c r="A30" s="19"/>
      <c r="B30" s="17"/>
      <c r="C30" s="21" t="s">
        <v>144</v>
      </c>
    </row>
    <row r="31" spans="1:23" x14ac:dyDescent="0.25">
      <c r="A31" s="19"/>
      <c r="B31" s="17"/>
      <c r="C31" s="21"/>
    </row>
    <row r="32" spans="1:23" x14ac:dyDescent="0.25">
      <c r="A32" s="19"/>
      <c r="B32" s="105">
        <v>1</v>
      </c>
      <c r="C32" s="20" t="s">
        <v>18</v>
      </c>
    </row>
    <row r="33" spans="1:3" ht="30" x14ac:dyDescent="0.25">
      <c r="A33" s="19"/>
      <c r="B33" s="105">
        <v>2</v>
      </c>
      <c r="C33" s="20" t="s">
        <v>145</v>
      </c>
    </row>
    <row r="34" spans="1:3" x14ac:dyDescent="0.25">
      <c r="A34" s="19"/>
      <c r="B34" s="105">
        <v>3</v>
      </c>
      <c r="C34" s="203" t="s">
        <v>171</v>
      </c>
    </row>
    <row r="35" spans="1:3" x14ac:dyDescent="0.25">
      <c r="A35" s="19"/>
      <c r="B35" s="17"/>
      <c r="C35" s="18"/>
    </row>
    <row r="36" spans="1:3" ht="17.25" x14ac:dyDescent="0.3">
      <c r="A36" s="19"/>
      <c r="B36" s="170" t="s">
        <v>169</v>
      </c>
      <c r="C36" s="171"/>
    </row>
    <row r="37" spans="1:3" x14ac:dyDescent="0.25">
      <c r="A37" s="19"/>
      <c r="B37" s="17"/>
      <c r="C37" s="18"/>
    </row>
    <row r="38" spans="1:3" ht="45" x14ac:dyDescent="0.25">
      <c r="A38" s="19"/>
      <c r="B38" s="105">
        <v>1</v>
      </c>
      <c r="C38" s="20" t="s">
        <v>168</v>
      </c>
    </row>
    <row r="39" spans="1:3" ht="30" x14ac:dyDescent="0.25">
      <c r="A39" s="19"/>
      <c r="B39" s="105">
        <v>2</v>
      </c>
      <c r="C39" s="20" t="s">
        <v>170</v>
      </c>
    </row>
    <row r="40" spans="1:3" x14ac:dyDescent="0.25">
      <c r="B40" s="15"/>
      <c r="C40" s="16"/>
    </row>
    <row r="41" spans="1:3" x14ac:dyDescent="0.25">
      <c r="B41" s="15"/>
      <c r="C41" s="16"/>
    </row>
    <row r="42" spans="1:3" x14ac:dyDescent="0.25">
      <c r="B42" s="15"/>
      <c r="C42" s="16"/>
    </row>
    <row r="43" spans="1:3" x14ac:dyDescent="0.25">
      <c r="B43" s="15"/>
      <c r="C43" s="16"/>
    </row>
    <row r="44" spans="1:3" x14ac:dyDescent="0.25">
      <c r="B44" s="15"/>
      <c r="C44" s="16"/>
    </row>
    <row r="45" spans="1:3" x14ac:dyDescent="0.25">
      <c r="B45" s="15"/>
      <c r="C45" s="16"/>
    </row>
    <row r="46" spans="1:3" x14ac:dyDescent="0.25">
      <c r="B46" s="15"/>
      <c r="C46" s="16"/>
    </row>
  </sheetData>
  <sheetProtection algorithmName="SHA-512" hashValue="UiH53+MlXVsLCaBlSIBndV8mlmvYgKyqPAzGZ+pmYRObp4niqihi7Yl7ZDYisglST1+ZmPstNqNe7XdCclcx9w==" saltValue="NvQtyBnbQlGYHROO1Q0qaw==" spinCount="100000" sheet="1" objects="1" scenarios="1"/>
  <mergeCells count="6">
    <mergeCell ref="B36:C36"/>
    <mergeCell ref="B1:C1"/>
    <mergeCell ref="B23:C23"/>
    <mergeCell ref="B29:C29"/>
    <mergeCell ref="B3:C3"/>
    <mergeCell ref="B15:C15"/>
  </mergeCells>
  <printOptions horizontalCentered="1"/>
  <pageMargins left="0.11811023622047245" right="0.11811023622047245" top="0.19685039370078741" bottom="0.19685039370078741" header="0.31496062992125984" footer="0.31496062992125984"/>
  <pageSetup paperSize="9" scale="74" orientation="portrait" r:id="rId1"/>
  <headerFooter>
    <oddFooter>&amp;LNorthern Regional Alliance ©&amp;C&amp;F&amp;RVersion 5.0 Last Updated 20/04/2022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Reference!$F$2:$F$46</xm:f>
          </x14:formula1>
          <xm:sqref>D22</xm:sqref>
        </x14:dataValidation>
        <x14:dataValidation type="list" allowBlank="1" showErrorMessage="1" error="Please Select_x000a_" prompt="_x000a_" xr:uid="{00000000-0002-0000-0000-000001000000}">
          <x14:formula1>
            <xm:f>Reference!$E$2:$E$5</xm:f>
          </x14:formula1>
          <xm:sqref>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3"/>
  <sheetViews>
    <sheetView view="pageBreakPreview" zoomScale="80" zoomScaleNormal="85" zoomScaleSheetLayoutView="80" workbookViewId="0">
      <selection activeCell="C47" sqref="C47"/>
    </sheetView>
  </sheetViews>
  <sheetFormatPr defaultColWidth="8.85546875" defaultRowHeight="15" x14ac:dyDescent="0.25"/>
  <cols>
    <col min="1" max="1" width="22.85546875" style="23" customWidth="1"/>
    <col min="2" max="2" width="42.140625" style="23" customWidth="1"/>
    <col min="3" max="3" width="23.28515625" style="23" customWidth="1"/>
    <col min="4" max="4" width="23" style="23" customWidth="1"/>
    <col min="5" max="5" width="17.85546875" style="23" customWidth="1"/>
    <col min="6" max="6" width="12.7109375" style="23" customWidth="1"/>
    <col min="7" max="7" width="4.28515625" style="23" customWidth="1"/>
    <col min="8" max="8" width="20.7109375" style="23" hidden="1" customWidth="1"/>
    <col min="9" max="9" width="20.140625" style="23" customWidth="1"/>
    <col min="10" max="10" width="16" style="23" customWidth="1"/>
    <col min="11" max="11" width="12.85546875" style="23" customWidth="1"/>
    <col min="12" max="12" width="47.7109375" style="23" customWidth="1"/>
    <col min="13" max="14" width="32" style="23" bestFit="1" customWidth="1"/>
    <col min="15" max="16" width="8.85546875" style="23"/>
    <col min="17" max="17" width="0" style="23" hidden="1" customWidth="1"/>
    <col min="18" max="16384" width="8.85546875" style="23"/>
  </cols>
  <sheetData>
    <row r="1" spans="1:17" ht="24" thickBot="1" x14ac:dyDescent="0.4">
      <c r="A1" s="181" t="s">
        <v>167</v>
      </c>
      <c r="B1" s="182"/>
      <c r="C1" s="182"/>
      <c r="D1" s="182"/>
      <c r="E1" s="183"/>
      <c r="F1" s="183"/>
      <c r="G1" s="183"/>
      <c r="H1" s="183"/>
      <c r="I1" s="183"/>
      <c r="J1" s="183"/>
      <c r="K1" s="184"/>
    </row>
    <row r="2" spans="1:17" ht="21.75" customHeight="1" x14ac:dyDescent="0.25">
      <c r="A2" s="24"/>
      <c r="B2" s="25" t="s">
        <v>20</v>
      </c>
      <c r="C2" s="22"/>
      <c r="D2" s="22"/>
      <c r="E2" s="22"/>
      <c r="F2" s="22"/>
      <c r="G2" s="22"/>
      <c r="H2" s="22"/>
      <c r="I2" s="22"/>
      <c r="J2" s="22"/>
      <c r="K2" s="101"/>
      <c r="Q2" s="26">
        <v>40</v>
      </c>
    </row>
    <row r="3" spans="1:17" x14ac:dyDescent="0.25">
      <c r="A3" s="24"/>
      <c r="B3" s="22" t="s">
        <v>21</v>
      </c>
      <c r="C3" s="71"/>
      <c r="D3" s="27" t="s">
        <v>22</v>
      </c>
      <c r="E3" s="22"/>
      <c r="F3" s="22"/>
      <c r="G3" s="22"/>
      <c r="H3" s="22"/>
      <c r="I3" s="22"/>
      <c r="J3" s="22"/>
      <c r="K3" s="101"/>
      <c r="Q3" s="26">
        <v>45</v>
      </c>
    </row>
    <row r="4" spans="1:17" x14ac:dyDescent="0.25">
      <c r="A4" s="24"/>
      <c r="B4" s="72" t="s">
        <v>23</v>
      </c>
      <c r="C4" s="73"/>
      <c r="D4" s="27" t="s">
        <v>22</v>
      </c>
      <c r="E4" s="22"/>
      <c r="F4" s="22"/>
      <c r="G4" s="22"/>
      <c r="H4" s="22"/>
      <c r="I4" s="22"/>
      <c r="J4" s="22"/>
      <c r="K4" s="101"/>
      <c r="Q4" s="26">
        <v>50</v>
      </c>
    </row>
    <row r="5" spans="1:17" x14ac:dyDescent="0.25">
      <c r="A5" s="24"/>
      <c r="B5" s="72" t="s">
        <v>24</v>
      </c>
      <c r="C5" s="73"/>
      <c r="D5" s="27" t="s">
        <v>22</v>
      </c>
      <c r="E5" s="28"/>
      <c r="F5" s="29"/>
      <c r="G5" s="29"/>
      <c r="H5" s="29"/>
      <c r="I5" s="29"/>
      <c r="J5" s="29"/>
      <c r="K5" s="101"/>
      <c r="Q5" s="26">
        <v>55</v>
      </c>
    </row>
    <row r="6" spans="1:17" x14ac:dyDescent="0.25">
      <c r="A6" s="24"/>
      <c r="B6" s="72" t="s">
        <v>25</v>
      </c>
      <c r="C6" s="71"/>
      <c r="D6" s="30" t="s">
        <v>26</v>
      </c>
      <c r="E6" s="28"/>
      <c r="F6" s="29"/>
      <c r="G6" s="29"/>
      <c r="H6" s="29"/>
      <c r="I6" s="29"/>
      <c r="J6" s="29"/>
      <c r="K6" s="101"/>
      <c r="Q6" s="26">
        <v>60</v>
      </c>
    </row>
    <row r="7" spans="1:17" x14ac:dyDescent="0.25">
      <c r="A7" s="24"/>
      <c r="B7" s="22"/>
      <c r="C7" s="28"/>
      <c r="D7" s="22"/>
      <c r="E7" s="22"/>
      <c r="F7" s="31"/>
      <c r="G7" s="31"/>
      <c r="H7" s="22"/>
      <c r="I7" s="22"/>
      <c r="J7" s="22"/>
      <c r="K7" s="101"/>
      <c r="Q7" s="26">
        <v>65</v>
      </c>
    </row>
    <row r="8" spans="1:17" x14ac:dyDescent="0.25">
      <c r="A8" s="24"/>
      <c r="B8" s="32" t="s">
        <v>27</v>
      </c>
      <c r="C8" s="28"/>
      <c r="D8" s="22"/>
      <c r="E8" s="22"/>
      <c r="F8" s="22"/>
      <c r="G8" s="22"/>
      <c r="H8" s="22"/>
      <c r="I8" s="22"/>
      <c r="J8" s="22"/>
      <c r="K8" s="101"/>
    </row>
    <row r="9" spans="1:17" x14ac:dyDescent="0.25">
      <c r="A9" s="24"/>
      <c r="B9" s="72" t="s">
        <v>28</v>
      </c>
      <c r="C9" s="71"/>
      <c r="D9" s="27" t="s">
        <v>22</v>
      </c>
      <c r="E9" s="22"/>
      <c r="F9" s="22"/>
      <c r="G9" s="22"/>
      <c r="H9" s="22"/>
      <c r="I9" s="22"/>
      <c r="J9" s="22"/>
      <c r="K9" s="101"/>
    </row>
    <row r="10" spans="1:17" x14ac:dyDescent="0.25">
      <c r="A10" s="24"/>
      <c r="B10" s="72" t="s">
        <v>29</v>
      </c>
      <c r="C10" s="71"/>
      <c r="D10" s="27" t="s">
        <v>22</v>
      </c>
      <c r="E10" s="22"/>
      <c r="F10" s="22"/>
      <c r="G10" s="22"/>
      <c r="H10" s="22"/>
      <c r="I10" s="22"/>
      <c r="J10" s="22"/>
      <c r="K10" s="101"/>
    </row>
    <row r="11" spans="1:17" x14ac:dyDescent="0.25">
      <c r="A11" s="24"/>
      <c r="B11" s="72" t="s">
        <v>30</v>
      </c>
      <c r="C11" s="70">
        <v>8</v>
      </c>
      <c r="D11" s="33"/>
      <c r="E11" s="22"/>
      <c r="F11" s="22"/>
      <c r="G11" s="22"/>
      <c r="H11" s="22"/>
      <c r="I11" s="28"/>
      <c r="J11" s="22"/>
      <c r="K11" s="101"/>
    </row>
    <row r="12" spans="1:17" x14ac:dyDescent="0.25">
      <c r="A12" s="24"/>
      <c r="B12" s="72" t="s">
        <v>31</v>
      </c>
      <c r="C12" s="71"/>
      <c r="D12" s="27" t="s">
        <v>32</v>
      </c>
      <c r="E12" s="22"/>
      <c r="F12" s="22"/>
      <c r="G12" s="22"/>
      <c r="H12" s="22"/>
      <c r="I12" s="22"/>
      <c r="J12" s="22"/>
      <c r="K12" s="101"/>
    </row>
    <row r="13" spans="1:17" x14ac:dyDescent="0.25">
      <c r="A13" s="24"/>
      <c r="B13" s="72" t="s">
        <v>33</v>
      </c>
      <c r="C13" s="38">
        <v>52.14</v>
      </c>
      <c r="D13" s="22"/>
      <c r="E13" s="22"/>
      <c r="F13" s="22"/>
      <c r="G13" s="22"/>
      <c r="H13" s="22"/>
      <c r="I13" s="22"/>
      <c r="J13" s="22"/>
      <c r="K13" s="101"/>
    </row>
    <row r="14" spans="1:17" s="37" customFormat="1" ht="13.5" customHeight="1" x14ac:dyDescent="0.25">
      <c r="A14" s="34"/>
      <c r="B14" s="35"/>
      <c r="C14" s="35"/>
      <c r="D14" s="35"/>
      <c r="E14" s="35"/>
      <c r="F14" s="35"/>
      <c r="G14" s="35"/>
      <c r="H14" s="35"/>
      <c r="I14" s="35"/>
      <c r="J14" s="35"/>
      <c r="K14" s="36"/>
    </row>
    <row r="15" spans="1:17" ht="15" customHeight="1" x14ac:dyDescent="0.25">
      <c r="A15" s="185" t="s">
        <v>34</v>
      </c>
      <c r="B15" s="186" t="s">
        <v>35</v>
      </c>
      <c r="C15" s="186"/>
      <c r="D15" s="74"/>
      <c r="E15" s="22"/>
      <c r="F15" s="22"/>
      <c r="G15" s="22"/>
      <c r="H15" s="22"/>
      <c r="I15" s="22"/>
      <c r="J15" s="22"/>
      <c r="K15" s="101"/>
    </row>
    <row r="16" spans="1:17" x14ac:dyDescent="0.25">
      <c r="A16" s="185"/>
      <c r="B16" s="187" t="s">
        <v>152</v>
      </c>
      <c r="C16" s="187"/>
      <c r="D16" s="22"/>
      <c r="E16" s="22"/>
      <c r="F16" s="22"/>
      <c r="G16" s="22"/>
      <c r="H16" s="22"/>
      <c r="I16" s="22"/>
      <c r="J16" s="22"/>
      <c r="K16" s="101"/>
    </row>
    <row r="17" spans="1:11" x14ac:dyDescent="0.25">
      <c r="A17" s="185"/>
      <c r="B17" s="22" t="s">
        <v>36</v>
      </c>
      <c r="C17" s="38">
        <v>40</v>
      </c>
      <c r="D17" s="22"/>
      <c r="E17" s="22"/>
      <c r="F17" s="22"/>
      <c r="G17" s="22"/>
      <c r="H17" s="22"/>
      <c r="I17" s="22"/>
      <c r="J17" s="22"/>
      <c r="K17" s="101"/>
    </row>
    <row r="18" spans="1:11" x14ac:dyDescent="0.25">
      <c r="A18" s="185"/>
      <c r="B18" s="22" t="s">
        <v>37</v>
      </c>
      <c r="C18" s="71"/>
      <c r="D18" s="27" t="s">
        <v>38</v>
      </c>
      <c r="E18" s="27"/>
      <c r="F18" s="22"/>
      <c r="G18" s="22"/>
      <c r="H18" s="22"/>
      <c r="I18" s="22"/>
      <c r="J18" s="22"/>
      <c r="K18" s="101"/>
    </row>
    <row r="19" spans="1:11" x14ac:dyDescent="0.25">
      <c r="A19" s="185"/>
      <c r="B19" s="22" t="s">
        <v>39</v>
      </c>
      <c r="C19" s="71"/>
      <c r="D19" s="27" t="s">
        <v>38</v>
      </c>
      <c r="E19" s="27"/>
      <c r="F19" s="22"/>
      <c r="G19" s="22"/>
      <c r="H19" s="22"/>
      <c r="I19" s="22"/>
      <c r="J19" s="22"/>
      <c r="K19" s="101"/>
    </row>
    <row r="20" spans="1:11" x14ac:dyDescent="0.25">
      <c r="A20" s="185"/>
      <c r="B20" s="22" t="s">
        <v>40</v>
      </c>
      <c r="C20" s="38">
        <f>SUM(C17:C19)</f>
        <v>40</v>
      </c>
      <c r="D20" s="22"/>
      <c r="E20" s="22"/>
      <c r="F20" s="22"/>
      <c r="G20" s="22"/>
      <c r="H20" s="22"/>
      <c r="I20" s="22"/>
      <c r="J20" s="22"/>
      <c r="K20" s="101"/>
    </row>
    <row r="21" spans="1:11" x14ac:dyDescent="0.25">
      <c r="A21" s="185"/>
      <c r="B21" s="22"/>
      <c r="C21" s="22"/>
      <c r="D21" s="22"/>
      <c r="E21" s="22"/>
      <c r="F21" s="22"/>
      <c r="G21" s="22"/>
      <c r="H21" s="22"/>
      <c r="I21" s="22"/>
      <c r="J21" s="22"/>
      <c r="K21" s="101"/>
    </row>
    <row r="22" spans="1:11" x14ac:dyDescent="0.25">
      <c r="A22" s="185"/>
      <c r="B22" s="32" t="s">
        <v>41</v>
      </c>
      <c r="C22" s="161" t="str">
        <f>IF(C20&gt;='Roster Calculator'!Q7,"A",IF('Roster Calculator'!C20&gt;='Roster Calculator'!Q6,"B",IF('Roster Calculator'!C20&gt;='Roster Calculator'!Q5,"C",IF('Roster Calculator'!C20&gt;='Roster Calculator'!Q4,"D",IF('Roster Calculator'!C20&gt;='Roster Calculator'!Q3,"E",IF('Roster Calculator'!C20&gt;='Roster Calculator'!Q2,"F"))))))</f>
        <v>F</v>
      </c>
      <c r="D22" s="33"/>
      <c r="E22" s="22"/>
      <c r="F22" s="22"/>
      <c r="G22" s="22"/>
      <c r="H22" s="22"/>
      <c r="I22" s="22"/>
      <c r="J22" s="22"/>
      <c r="K22" s="101"/>
    </row>
    <row r="23" spans="1:11" x14ac:dyDescent="0.25">
      <c r="A23" s="185"/>
      <c r="B23" s="32" t="s">
        <v>163</v>
      </c>
      <c r="C23" s="163"/>
      <c r="D23" s="27" t="s">
        <v>22</v>
      </c>
      <c r="E23" s="22"/>
      <c r="F23" s="22"/>
      <c r="G23" s="22"/>
      <c r="H23" s="22"/>
      <c r="I23" s="22"/>
      <c r="J23" s="22"/>
      <c r="K23" s="101"/>
    </row>
    <row r="24" spans="1:11" x14ac:dyDescent="0.25">
      <c r="A24" s="24"/>
      <c r="B24" s="22"/>
      <c r="C24" s="22"/>
      <c r="D24" s="22"/>
      <c r="E24" s="22"/>
      <c r="F24" s="22"/>
      <c r="G24" s="22"/>
      <c r="H24" s="22"/>
      <c r="I24" s="22"/>
      <c r="J24" s="22"/>
      <c r="K24" s="101"/>
    </row>
    <row r="25" spans="1:11" x14ac:dyDescent="0.25">
      <c r="A25" s="179" t="s">
        <v>42</v>
      </c>
      <c r="B25" s="42"/>
      <c r="C25" s="188" t="s">
        <v>43</v>
      </c>
      <c r="D25" s="188"/>
      <c r="E25" s="188"/>
      <c r="F25" s="188"/>
      <c r="G25" s="188"/>
      <c r="H25" s="41"/>
      <c r="I25" s="22"/>
      <c r="J25" s="22"/>
      <c r="K25" s="101"/>
    </row>
    <row r="26" spans="1:11" x14ac:dyDescent="0.25">
      <c r="A26" s="179"/>
      <c r="B26" s="42"/>
      <c r="C26" s="189" t="s">
        <v>44</v>
      </c>
      <c r="D26" s="189"/>
      <c r="E26" s="189"/>
      <c r="F26" s="189"/>
      <c r="G26" s="189"/>
      <c r="H26" s="22"/>
      <c r="I26" s="22"/>
      <c r="J26" s="22"/>
      <c r="K26" s="101"/>
    </row>
    <row r="27" spans="1:11" x14ac:dyDescent="0.25">
      <c r="A27" s="179"/>
      <c r="B27" s="42"/>
      <c r="C27" s="22"/>
      <c r="D27" s="22"/>
      <c r="E27" s="22"/>
      <c r="F27" s="22"/>
      <c r="G27" s="22"/>
      <c r="H27" s="22"/>
      <c r="I27" s="22"/>
      <c r="J27" s="22"/>
      <c r="K27" s="101"/>
    </row>
    <row r="28" spans="1:11" x14ac:dyDescent="0.25">
      <c r="A28" s="179"/>
      <c r="B28" s="43" t="s">
        <v>47</v>
      </c>
      <c r="C28" s="44">
        <f>C12</f>
        <v>0</v>
      </c>
      <c r="D28" s="45" t="s">
        <v>48</v>
      </c>
      <c r="E28" s="46" t="e">
        <f>$C$28/$C$29</f>
        <v>#DIV/0!</v>
      </c>
      <c r="F28" s="190" t="s">
        <v>49</v>
      </c>
      <c r="G28" s="190"/>
      <c r="H28" s="22"/>
      <c r="I28" s="22"/>
      <c r="J28" s="22"/>
      <c r="K28" s="101"/>
    </row>
    <row r="29" spans="1:11" x14ac:dyDescent="0.25">
      <c r="A29" s="179"/>
      <c r="B29" s="43" t="s">
        <v>51</v>
      </c>
      <c r="C29" s="53">
        <f>C10</f>
        <v>0</v>
      </c>
      <c r="D29" s="47"/>
      <c r="E29" s="43"/>
      <c r="F29" s="43"/>
      <c r="G29" s="43"/>
      <c r="H29" s="22"/>
      <c r="I29" s="22"/>
      <c r="J29" s="22"/>
      <c r="K29" s="101"/>
    </row>
    <row r="30" spans="1:11" x14ac:dyDescent="0.25">
      <c r="A30" s="179"/>
      <c r="B30" s="48"/>
      <c r="C30" s="43"/>
      <c r="D30" s="43"/>
      <c r="E30" s="43"/>
      <c r="F30" s="43"/>
      <c r="G30" s="43"/>
      <c r="H30" s="22"/>
      <c r="I30" s="22"/>
      <c r="J30" s="22"/>
      <c r="K30" s="101"/>
    </row>
    <row r="31" spans="1:11" x14ac:dyDescent="0.25">
      <c r="A31" s="179"/>
      <c r="B31" s="43" t="s">
        <v>53</v>
      </c>
      <c r="C31" s="44" t="e">
        <f>$E$28*C11</f>
        <v>#DIV/0!</v>
      </c>
      <c r="D31" s="45" t="s">
        <v>48</v>
      </c>
      <c r="E31" s="49" t="e">
        <f>$C$31/$C$32</f>
        <v>#DIV/0!</v>
      </c>
      <c r="F31" s="190" t="s">
        <v>54</v>
      </c>
      <c r="G31" s="190"/>
      <c r="H31" s="22" t="e">
        <f>-E31</f>
        <v>#DIV/0!</v>
      </c>
      <c r="I31" s="50"/>
      <c r="J31" s="22"/>
      <c r="K31" s="101"/>
    </row>
    <row r="32" spans="1:11" x14ac:dyDescent="0.25">
      <c r="A32" s="179"/>
      <c r="B32" s="43" t="s">
        <v>28</v>
      </c>
      <c r="C32" s="53">
        <f>C9</f>
        <v>0</v>
      </c>
      <c r="D32" s="47"/>
      <c r="E32" s="51"/>
      <c r="F32" s="43"/>
      <c r="G32" s="43"/>
      <c r="H32" s="22"/>
      <c r="I32" s="22"/>
      <c r="J32" s="22"/>
      <c r="K32" s="101"/>
    </row>
    <row r="33" spans="1:18" x14ac:dyDescent="0.25">
      <c r="A33" s="179"/>
      <c r="B33" s="42"/>
      <c r="C33" s="22"/>
      <c r="D33" s="22"/>
      <c r="E33" s="22"/>
      <c r="F33" s="22"/>
      <c r="G33" s="22"/>
      <c r="H33" s="22"/>
      <c r="I33" s="22"/>
      <c r="J33" s="22"/>
      <c r="K33" s="101"/>
    </row>
    <row r="34" spans="1:18" x14ac:dyDescent="0.25">
      <c r="A34" s="180"/>
      <c r="B34" s="42"/>
      <c r="C34" s="22"/>
      <c r="D34" s="22"/>
      <c r="E34" s="22"/>
      <c r="F34" s="22"/>
      <c r="G34" s="22"/>
      <c r="H34" s="22"/>
      <c r="I34" s="22"/>
      <c r="J34" s="22"/>
      <c r="K34" s="101"/>
      <c r="L34" s="56"/>
      <c r="M34" s="56"/>
      <c r="R34" s="52"/>
    </row>
    <row r="35" spans="1:18" ht="15" customHeight="1" x14ac:dyDescent="0.25">
      <c r="A35" s="180"/>
      <c r="B35" s="159" t="s">
        <v>159</v>
      </c>
      <c r="C35" s="116"/>
      <c r="D35" s="121"/>
      <c r="E35" s="22"/>
      <c r="F35" s="22"/>
      <c r="G35" s="22"/>
      <c r="H35" s="22"/>
      <c r="I35" s="22"/>
      <c r="J35" s="22"/>
      <c r="K35" s="101"/>
      <c r="L35" s="56"/>
      <c r="M35" s="56"/>
      <c r="R35" s="52"/>
    </row>
    <row r="36" spans="1:18" x14ac:dyDescent="0.25">
      <c r="A36" s="180"/>
      <c r="B36" s="117" t="s">
        <v>45</v>
      </c>
      <c r="C36" s="75">
        <v>40</v>
      </c>
      <c r="D36" s="121"/>
      <c r="E36" s="22"/>
      <c r="F36" s="22"/>
      <c r="G36" s="22"/>
      <c r="H36" s="22"/>
      <c r="I36" s="22"/>
      <c r="J36" s="22"/>
      <c r="K36" s="101"/>
      <c r="L36" s="56"/>
      <c r="M36" s="56"/>
      <c r="R36" s="52"/>
    </row>
    <row r="37" spans="1:18" x14ac:dyDescent="0.25">
      <c r="A37" s="180"/>
      <c r="B37" s="117" t="s">
        <v>46</v>
      </c>
      <c r="C37" s="75" t="e">
        <f>H31</f>
        <v>#DIV/0!</v>
      </c>
      <c r="D37" s="122"/>
      <c r="E37" s="22"/>
      <c r="F37" s="22"/>
      <c r="G37" s="22"/>
      <c r="H37" s="22"/>
      <c r="I37" s="22"/>
      <c r="J37" s="22"/>
      <c r="K37" s="101"/>
      <c r="L37" s="56"/>
      <c r="M37" s="56"/>
      <c r="R37" s="52"/>
    </row>
    <row r="38" spans="1:18" x14ac:dyDescent="0.25">
      <c r="A38" s="180"/>
      <c r="B38" s="119" t="s">
        <v>50</v>
      </c>
      <c r="C38" s="76" t="e">
        <f>SUM(C36:C37)</f>
        <v>#DIV/0!</v>
      </c>
      <c r="D38" s="123"/>
      <c r="E38" s="22"/>
      <c r="F38" s="22"/>
      <c r="G38" s="22"/>
      <c r="H38" s="22"/>
      <c r="I38" s="22"/>
      <c r="J38" s="22"/>
      <c r="K38" s="101"/>
      <c r="L38" s="56"/>
      <c r="M38" s="56"/>
      <c r="R38" s="52"/>
    </row>
    <row r="39" spans="1:18" x14ac:dyDescent="0.25">
      <c r="A39" s="180"/>
      <c r="B39" s="118"/>
      <c r="C39" s="118"/>
      <c r="D39" s="121"/>
      <c r="E39" s="22"/>
      <c r="F39" s="22"/>
      <c r="G39" s="22"/>
      <c r="H39" s="22"/>
      <c r="I39" s="22"/>
      <c r="J39" s="22"/>
      <c r="K39" s="101"/>
      <c r="L39" s="56"/>
      <c r="M39" s="56"/>
      <c r="R39" s="52"/>
    </row>
    <row r="40" spans="1:18" x14ac:dyDescent="0.25">
      <c r="A40" s="180"/>
      <c r="B40" s="117" t="s">
        <v>52</v>
      </c>
      <c r="C40" s="75">
        <f>C18</f>
        <v>0</v>
      </c>
      <c r="D40" s="121"/>
      <c r="E40" s="22"/>
      <c r="F40" s="22"/>
      <c r="G40" s="22"/>
      <c r="H40" s="22"/>
      <c r="I40" s="22"/>
      <c r="J40" s="22"/>
      <c r="K40" s="101"/>
      <c r="L40" s="56"/>
      <c r="M40" s="56"/>
      <c r="R40" s="52"/>
    </row>
    <row r="41" spans="1:18" x14ac:dyDescent="0.25">
      <c r="A41" s="180"/>
      <c r="B41" s="117" t="s">
        <v>55</v>
      </c>
      <c r="C41" s="75">
        <f>C19</f>
        <v>0</v>
      </c>
      <c r="D41" s="121"/>
      <c r="E41" s="22"/>
      <c r="F41" s="22"/>
      <c r="G41" s="22"/>
      <c r="H41" s="22"/>
      <c r="I41" s="22"/>
      <c r="J41" s="22"/>
      <c r="K41" s="101"/>
      <c r="L41" s="56"/>
      <c r="M41" s="56"/>
      <c r="R41" s="52"/>
    </row>
    <row r="42" spans="1:18" x14ac:dyDescent="0.25">
      <c r="A42" s="180"/>
      <c r="B42" s="117" t="s">
        <v>56</v>
      </c>
      <c r="C42" s="77" t="e">
        <f>SUM(C40:C41,C38)</f>
        <v>#DIV/0!</v>
      </c>
      <c r="D42" s="123"/>
      <c r="E42" s="22"/>
      <c r="F42" s="22"/>
      <c r="G42" s="22"/>
      <c r="H42" s="22"/>
      <c r="I42" s="22"/>
      <c r="J42" s="22"/>
      <c r="K42" s="101"/>
      <c r="L42" s="56"/>
      <c r="M42" s="56"/>
      <c r="R42" s="52"/>
    </row>
    <row r="43" spans="1:18" x14ac:dyDescent="0.25">
      <c r="A43" s="180"/>
      <c r="B43" s="117" t="s">
        <v>57</v>
      </c>
      <c r="C43" s="160" t="e">
        <f>IF(C42&gt;=Q7,"A",IF(C42&gt;=Q6,"B",IF(C42&gt;=Q5,"C",IF(C42&gt;=Q4,"D",IF(C42&gt;=Q3,"E",IF(C42&gt;=Q2,"F"))))))</f>
        <v>#DIV/0!</v>
      </c>
      <c r="D43" s="54" t="s">
        <v>161</v>
      </c>
      <c r="E43" s="22"/>
      <c r="F43" s="22"/>
      <c r="G43" s="22"/>
      <c r="H43" s="22"/>
      <c r="I43" s="22"/>
      <c r="J43" s="22"/>
      <c r="K43" s="101"/>
      <c r="L43" s="56"/>
      <c r="M43" s="56"/>
      <c r="R43" s="52"/>
    </row>
    <row r="44" spans="1:18" x14ac:dyDescent="0.25">
      <c r="A44" s="180"/>
      <c r="B44" s="22"/>
      <c r="C44" s="22"/>
      <c r="D44" s="31"/>
      <c r="E44" s="22"/>
      <c r="F44" s="22"/>
      <c r="G44" s="22"/>
      <c r="H44" s="22"/>
      <c r="I44" s="22"/>
      <c r="J44" s="22"/>
      <c r="K44" s="101"/>
      <c r="L44" s="56"/>
      <c r="M44" s="56"/>
      <c r="R44" s="52"/>
    </row>
    <row r="45" spans="1:18" ht="30" x14ac:dyDescent="0.25">
      <c r="A45" s="180"/>
      <c r="B45" s="32" t="s">
        <v>156</v>
      </c>
      <c r="C45" s="71"/>
      <c r="D45" s="125" t="s">
        <v>58</v>
      </c>
      <c r="E45" s="22"/>
      <c r="F45" s="22"/>
      <c r="G45" s="22"/>
      <c r="H45" s="22"/>
      <c r="I45" s="22"/>
      <c r="J45" s="22"/>
      <c r="K45" s="101"/>
      <c r="L45" s="56"/>
      <c r="M45" s="56"/>
      <c r="R45" s="52"/>
    </row>
    <row r="46" spans="1:18" ht="9" customHeight="1" thickBot="1" x14ac:dyDescent="0.3">
      <c r="A46" s="180"/>
      <c r="B46" s="32"/>
      <c r="C46" s="126"/>
      <c r="D46" s="125"/>
      <c r="E46" s="22"/>
      <c r="F46" s="22"/>
      <c r="G46" s="22"/>
      <c r="H46" s="22"/>
      <c r="I46" s="22"/>
      <c r="J46" s="22"/>
      <c r="K46" s="101"/>
      <c r="L46" s="56"/>
      <c r="M46" s="56"/>
      <c r="R46" s="52"/>
    </row>
    <row r="47" spans="1:18" ht="27.75" customHeight="1" thickBot="1" x14ac:dyDescent="0.3">
      <c r="A47" s="180"/>
      <c r="B47" s="32" t="s">
        <v>157</v>
      </c>
      <c r="C47" s="71"/>
      <c r="D47" s="125" t="s">
        <v>58</v>
      </c>
      <c r="E47" s="207" t="s">
        <v>158</v>
      </c>
      <c r="F47" s="205"/>
      <c r="G47" s="205"/>
      <c r="H47" s="205"/>
      <c r="I47" s="206"/>
      <c r="J47" s="22"/>
      <c r="K47" s="101"/>
      <c r="L47" s="56"/>
      <c r="M47" s="56"/>
      <c r="R47" s="52"/>
    </row>
    <row r="48" spans="1:18" s="37" customFormat="1" ht="9.75" customHeight="1" thickBot="1" x14ac:dyDescent="0.3">
      <c r="A48" s="153"/>
      <c r="B48" s="154"/>
      <c r="C48" s="155"/>
      <c r="D48" s="156"/>
      <c r="E48" s="204"/>
      <c r="F48" s="157"/>
      <c r="G48" s="157"/>
      <c r="H48" s="157"/>
      <c r="I48" s="157"/>
      <c r="J48" s="109"/>
      <c r="K48" s="158"/>
      <c r="L48" s="128"/>
      <c r="M48" s="128"/>
      <c r="R48" s="129"/>
    </row>
    <row r="49" spans="1:18" ht="18.75" x14ac:dyDescent="0.3">
      <c r="A49" s="145" t="s">
        <v>19</v>
      </c>
      <c r="B49" s="146"/>
      <c r="C49" s="147"/>
      <c r="D49" s="148"/>
      <c r="E49" s="149"/>
      <c r="F49" s="149"/>
      <c r="G49" s="149"/>
      <c r="H49" s="149"/>
      <c r="I49" s="149"/>
      <c r="J49" s="149"/>
      <c r="K49" s="150"/>
      <c r="L49" s="56"/>
      <c r="M49" s="56"/>
      <c r="R49" s="52"/>
    </row>
    <row r="50" spans="1:18" ht="15.75" thickBot="1" x14ac:dyDescent="0.3">
      <c r="A50" s="24"/>
      <c r="B50" s="22"/>
      <c r="C50" s="22"/>
      <c r="D50" s="22"/>
      <c r="E50" s="22"/>
      <c r="F50" s="22"/>
      <c r="G50" s="22"/>
      <c r="H50" s="22"/>
      <c r="I50" s="22"/>
      <c r="J50" s="22"/>
      <c r="K50" s="101"/>
      <c r="L50" s="56"/>
      <c r="M50" s="56"/>
      <c r="R50" s="52"/>
    </row>
    <row r="51" spans="1:18" s="59" customFormat="1" ht="42.75" customHeight="1" x14ac:dyDescent="0.25">
      <c r="A51" s="144" t="s">
        <v>59</v>
      </c>
      <c r="B51" s="142" t="s">
        <v>60</v>
      </c>
      <c r="C51" s="131" t="s">
        <v>153</v>
      </c>
      <c r="D51" s="132" t="s">
        <v>154</v>
      </c>
      <c r="E51" s="133" t="s">
        <v>61</v>
      </c>
      <c r="F51" s="134" t="s">
        <v>66</v>
      </c>
      <c r="G51" s="31"/>
      <c r="H51" s="22"/>
      <c r="I51" s="140" t="s">
        <v>155</v>
      </c>
      <c r="J51" s="133" t="s">
        <v>61</v>
      </c>
      <c r="K51" s="141" t="s">
        <v>66</v>
      </c>
      <c r="L51" s="58"/>
      <c r="N51" s="60"/>
      <c r="Q51" s="60"/>
    </row>
    <row r="52" spans="1:18" x14ac:dyDescent="0.25">
      <c r="A52" s="61">
        <f>C5</f>
        <v>0</v>
      </c>
      <c r="B52" s="143">
        <f>C4</f>
        <v>0</v>
      </c>
      <c r="C52" s="61" t="e">
        <f>C43</f>
        <v>#DIV/0!</v>
      </c>
      <c r="D52" s="62" t="e">
        <f>C43</f>
        <v>#DIV/0!</v>
      </c>
      <c r="E52" s="22"/>
      <c r="F52" s="101"/>
      <c r="G52" s="22"/>
      <c r="H52" s="22"/>
      <c r="I52" s="61" t="str">
        <f>C22</f>
        <v>F</v>
      </c>
      <c r="J52" s="70"/>
      <c r="K52" s="137"/>
      <c r="L52" s="56"/>
      <c r="N52" s="52"/>
      <c r="Q52" s="52"/>
    </row>
    <row r="53" spans="1:18" x14ac:dyDescent="0.25">
      <c r="A53" s="164">
        <f>C$5</f>
        <v>0</v>
      </c>
      <c r="B53" s="137">
        <v>1</v>
      </c>
      <c r="C53" s="136" t="str">
        <f>IF(AND($C$4="House Officer",$B53&gt;4),"",IF(AND($C$5="Urban Scale",$C$4="House Officer"),HLOOKUP($C$43,RDASly!$B$6:$I$10,$B53+1,0),IF(AND($C$5="Non Urban Scale",$C$4="House Officer"),HLOOKUP($C$22,RDASly!$B$14:$I$18,$B53+1,0),IF(AND($C$5="Urban Scale",$C$4="Registrar"),HLOOKUP($C$43,RDASly!$B$23:$I$33,$B53+1,0),IF(AND($C$5="Non Urban Scale",$C$4="Registrar"),HLOOKUP($C$43,RDASly!$B$38:$I$48,$B53+1,0),"Error")))))</f>
        <v>Error</v>
      </c>
      <c r="D53" s="63" t="str">
        <f>IF(AND($C$4="House Officer",$B53&gt;4),"",IF(AND($C$5="Urban Scale",$C$4="House Officer"),HLOOKUP($C$43,SToNZSly!$B$6:$I$10,$B53+1,0),IF(AND($C$5="Non Urban Scale",$C$4="House Officer"),HLOOKUP($C$43,SToNZSly!$B$14:$I$18,$B53+1,0),IF(AND($C$5="Urban Scale",$C$4="Registrar"),HLOOKUP($C$43,SToNZSly!$B$23:$I$33,$B53+1,0),IF(AND($C$5="Non Urban Scale",$C$4="Registrar"),HLOOKUP($C$43,SToNZSly!$B$38:$I$48,$B53+1,0),"Error")))))</f>
        <v>Error</v>
      </c>
      <c r="E53" s="63" t="e">
        <f>IF(AND($C$4="House Officer",$B53&gt;4),"",D53-C53)</f>
        <v>#VALUE!</v>
      </c>
      <c r="F53" s="137" t="str">
        <f>IF(ISNUMBER(E53),IF(E53&gt;=0,"Increase","Decrease"),"")</f>
        <v/>
      </c>
      <c r="G53" s="22"/>
      <c r="H53" s="38"/>
      <c r="I53" s="136" t="str">
        <f>IF(AND($C$4="House Officer",$B53&gt;4),"",IF(AND($C$5="Urban Scale",$C$4="House Officer"),HLOOKUP($C$22,SToNZSly!$B$6:$I$10,$B53+1,0),IF(AND($C$5="Non Urban Scale",$C$4="House Officer"),HLOOKUP($C$22,SToNZSly!$B$14:$I$18,$B53+1,0),IF(AND($C$5="Urban Scale",$C$4="Registrar"),HLOOKUP($C$22,SToNZSly!$B$23:$I$33,$B53+1,0),IF(AND($C$5="Non Urban Scale",$C$4="Registrar"),HLOOKUP($C$22,SToNZSly!$B$38:$I$48,$B53+1,0),"Error")))))</f>
        <v>Error</v>
      </c>
      <c r="J53" s="63" t="e">
        <f>IF(AND($C$4="House Officer",$B53&gt;4),"",I53-C53)</f>
        <v>#VALUE!</v>
      </c>
      <c r="K53" s="137" t="str">
        <f>IF(ISNUMBER(J53),IF(J53&gt;=0,"Increase","Decrease"),"")</f>
        <v/>
      </c>
      <c r="L53" s="56"/>
      <c r="N53" s="52"/>
      <c r="Q53" s="52"/>
    </row>
    <row r="54" spans="1:18" x14ac:dyDescent="0.25">
      <c r="A54" s="164">
        <f t="shared" ref="A54:A56" si="0">C$5</f>
        <v>0</v>
      </c>
      <c r="B54" s="137">
        <v>2</v>
      </c>
      <c r="C54" s="136" t="str">
        <f>IF(AND($C$4="House Officer",$B54&gt;4),"",IF(AND($C$5="Urban Scale",$C$4="House Officer"),HLOOKUP($C$43,RDASly!$B$6:$I$10,$B54+1,0),IF(AND($C$5="Non Urban Scale",$C$4="House Officer"),HLOOKUP($C$22,RDASly!$B$14:$I$18,$B54+1,0),IF(AND($C$5="Urban Scale",$C$4="Registrar"),HLOOKUP($C$43,RDASly!$B$23:$I$33,$B54+1,0),IF(AND($C$5="Non Urban Scale",$C$4="Registrar"),HLOOKUP($C$43,RDASly!$B$38:$I$48,$B54+1,0),"Error")))))</f>
        <v>Error</v>
      </c>
      <c r="D54" s="63" t="str">
        <f>IF(AND($C$4="House Officer",$B54&gt;4),"",IF(AND($C$5="Urban Scale",$C$4="House Officer"),HLOOKUP($C$43,SToNZSly!$B$6:$I$10,$B54+1,0),IF(AND($C$5="Non Urban Scale",$C$4="House Officer"),HLOOKUP($C$43,SToNZSly!$B$14:$I$18,$B54+1,0),IF(AND($C$5="Urban Scale",$C$4="Registrar"),HLOOKUP($C$43,SToNZSly!$B$23:$I$33,$B54+1,0),IF(AND($C$5="Non Urban Scale",$C$4="Registrar"),HLOOKUP($C$43,SToNZSly!$B$38:$I$48,$B54+1,0),"Error")))))</f>
        <v>Error</v>
      </c>
      <c r="E54" s="63" t="e">
        <f t="shared" ref="E54:E62" si="1">IF(AND($C$4="House Officer",$B54&gt;4),"",D54-C54)</f>
        <v>#VALUE!</v>
      </c>
      <c r="F54" s="137" t="str">
        <f>IF(ISNUMBER(E54),IF(E54&gt;=0,"Increase","Decrease"),"")</f>
        <v/>
      </c>
      <c r="G54" s="22"/>
      <c r="H54" s="38"/>
      <c r="I54" s="136" t="str">
        <f>IF(AND($C$4="House Officer",$B54&gt;4),"",IF(AND($C$5="Urban Scale",$C$4="House Officer"),HLOOKUP($C$22,SToNZSly!$B$6:$I$10,$B54+1,0),IF(AND($C$5="Non Urban Scale",$C$4="House Officer"),HLOOKUP($C$22,SToNZSly!$B$14:$I$18,$B54+1,0),IF(AND($C$5="Urban Scale",$C$4="Registrar"),HLOOKUP($C$22,SToNZSly!$B$23:$I$33,$B54+1,0),IF(AND($C$5="Non Urban Scale",$C$4="Registrar"),HLOOKUP($C$22,SToNZSly!$B$38:$I$48,$B54+1,0),"Error")))))</f>
        <v>Error</v>
      </c>
      <c r="J54" s="63" t="e">
        <f t="shared" ref="J54:J62" si="2">IF(AND($C$4="House Officer",$B54&gt;4),"",I54-C54)</f>
        <v>#VALUE!</v>
      </c>
      <c r="K54" s="137" t="str">
        <f t="shared" ref="K54:K62" si="3">IF(ISNUMBER(J54),IF(J54&gt;=0,"Increase","Decrease"),"")</f>
        <v/>
      </c>
      <c r="L54" s="56"/>
      <c r="N54" s="52"/>
      <c r="Q54" s="52"/>
    </row>
    <row r="55" spans="1:18" x14ac:dyDescent="0.25">
      <c r="A55" s="164">
        <f t="shared" si="0"/>
        <v>0</v>
      </c>
      <c r="B55" s="137">
        <v>3</v>
      </c>
      <c r="C55" s="136" t="str">
        <f>IF(AND($C$4="House Officer",$B55&gt;4),"",IF(AND($C$5="Urban Scale",$C$4="House Officer"),HLOOKUP($C$43,RDASly!$B$6:$I$10,$B55+1,0),IF(AND($C$5="Non Urban Scale",$C$4="House Officer"),HLOOKUP($C$22,RDASly!$B$14:$I$18,$B55+1,0),IF(AND($C$5="Urban Scale",$C$4="Registrar"),HLOOKUP($C$43,RDASly!$B$23:$I$33,$B55+1,0),IF(AND($C$5="Non Urban Scale",$C$4="Registrar"),HLOOKUP($C$43,RDASly!$B$38:$I$48,$B55+1,0),"Error")))))</f>
        <v>Error</v>
      </c>
      <c r="D55" s="63" t="str">
        <f>IF(AND($C$4="House Officer",$B55&gt;4),"",IF(AND($C$5="Urban Scale",$C$4="House Officer"),HLOOKUP($C$43,SToNZSly!$B$6:$I$10,$B55+1,0),IF(AND($C$5="Non Urban Scale",$C$4="House Officer"),HLOOKUP($C$43,SToNZSly!$B$14:$I$18,$B55+1,0),IF(AND($C$5="Urban Scale",$C$4="Registrar"),HLOOKUP($C$43,SToNZSly!$B$23:$I$33,$B55+1,0),IF(AND($C$5="Non Urban Scale",$C$4="Registrar"),HLOOKUP($C$43,SToNZSly!$B$38:$I$48,$B55+1,0),"Error")))))</f>
        <v>Error</v>
      </c>
      <c r="E55" s="63" t="e">
        <f t="shared" si="1"/>
        <v>#VALUE!</v>
      </c>
      <c r="F55" s="137" t="str">
        <f>IF(ISNUMBER(E55),IF(E55&gt;=0,"Increase","Decrease"),"")</f>
        <v/>
      </c>
      <c r="G55" s="22"/>
      <c r="H55" s="38"/>
      <c r="I55" s="136" t="str">
        <f>IF(AND($C$4="House Officer",$B55&gt;4),"",IF(AND($C$5="Urban Scale",$C$4="House Officer"),HLOOKUP($C$22,SToNZSly!$B$6:$I$10,$B55+1,0),IF(AND($C$5="Non Urban Scale",$C$4="House Officer"),HLOOKUP($C$22,SToNZSly!$B$14:$I$18,$B55+1,0),IF(AND($C$5="Urban Scale",$C$4="Registrar"),HLOOKUP($C$22,SToNZSly!$B$23:$I$33,$B55+1,0),IF(AND($C$5="Non Urban Scale",$C$4="Registrar"),HLOOKUP($C$22,SToNZSly!$B$38:$I$48,$B55+1,0),"Error")))))</f>
        <v>Error</v>
      </c>
      <c r="J55" s="63" t="e">
        <f t="shared" si="2"/>
        <v>#VALUE!</v>
      </c>
      <c r="K55" s="137" t="str">
        <f t="shared" si="3"/>
        <v/>
      </c>
      <c r="L55" s="56"/>
      <c r="N55" s="52"/>
      <c r="Q55" s="52"/>
    </row>
    <row r="56" spans="1:18" x14ac:dyDescent="0.25">
      <c r="A56" s="164">
        <f t="shared" si="0"/>
        <v>0</v>
      </c>
      <c r="B56" s="137">
        <v>4</v>
      </c>
      <c r="C56" s="136" t="str">
        <f>IF(AND($C$4="House Officer",$B56&gt;4),"",IF(AND($C$5="Urban Scale",$C$4="House Officer"),HLOOKUP($C$43,RDASly!$B$6:$I$10,$B56+1,0),IF(AND($C$5="Non Urban Scale",$C$4="House Officer"),HLOOKUP($C$22,RDASly!$B$14:$I$18,$B56+1,0),IF(AND($C$5="Urban Scale",$C$4="Registrar"),HLOOKUP($C$43,RDASly!$B$23:$I$33,$B56+1,0),IF(AND($C$5="Non Urban Scale",$C$4="Registrar"),HLOOKUP($C$43,RDASly!$B$38:$I$48,$B56+1,0),"Error")))))</f>
        <v>Error</v>
      </c>
      <c r="D56" s="63" t="str">
        <f>IF(AND($C$4="House Officer",$B56&gt;4),"",IF(AND($C$5="Urban Scale",$C$4="House Officer"),HLOOKUP($C$43,SToNZSly!$B$6:$I$10,$B56+1,0),IF(AND($C$5="Non Urban Scale",$C$4="House Officer"),HLOOKUP($C$43,SToNZSly!$B$14:$I$18,$B56+1,0),IF(AND($C$5="Urban Scale",$C$4="Registrar"),HLOOKUP($C$43,SToNZSly!$B$23:$I$33,$B56+1,0),IF(AND($C$5="Non Urban Scale",$C$4="Registrar"),HLOOKUP($C$43,SToNZSly!$B$38:$I$48,$B56+1,0),"Error")))))</f>
        <v>Error</v>
      </c>
      <c r="E56" s="63" t="e">
        <f t="shared" si="1"/>
        <v>#VALUE!</v>
      </c>
      <c r="F56" s="137" t="str">
        <f>IF(ISNUMBER(E56),IF(E56&gt;=0,"Increase","Decrease"),"")</f>
        <v/>
      </c>
      <c r="G56" s="22"/>
      <c r="H56" s="38"/>
      <c r="I56" s="136" t="str">
        <f>IF(AND($C$4="House Officer",$B56&gt;4),"",IF(AND($C$5="Urban Scale",$C$4="House Officer"),HLOOKUP($C$22,SToNZSly!$B$6:$I$10,$B56+1,0),IF(AND($C$5="Non Urban Scale",$C$4="House Officer"),HLOOKUP($C$22,SToNZSly!$B$14:$I$18,$B56+1,0),IF(AND($C$5="Urban Scale",$C$4="Registrar"),HLOOKUP($C$22,SToNZSly!$B$23:$I$33,$B56+1,0),IF(AND($C$5="Non Urban Scale",$C$4="Registrar"),HLOOKUP($C$22,SToNZSly!$B$38:$I$48,$B56+1,0),"Error")))))</f>
        <v>Error</v>
      </c>
      <c r="J56" s="63" t="e">
        <f t="shared" si="2"/>
        <v>#VALUE!</v>
      </c>
      <c r="K56" s="137" t="str">
        <f t="shared" si="3"/>
        <v/>
      </c>
      <c r="L56" s="56"/>
      <c r="N56" s="52"/>
      <c r="Q56" s="52"/>
    </row>
    <row r="57" spans="1:18" x14ac:dyDescent="0.25">
      <c r="A57" s="164" t="str">
        <f t="shared" ref="A57:A62" si="4">IF(C$4="Registrar",C$5,"")</f>
        <v/>
      </c>
      <c r="B57" s="137" t="str">
        <f>IF(C$4="Registrar",B56+1,"")</f>
        <v/>
      </c>
      <c r="C57" s="136" t="str">
        <f>IF(AND($C$4="House Officer",$B57&gt;4),"",IF(AND($C$5="Urban Scale",$C$4="House Officer"),HLOOKUP($C$43,RDASly!$B$6:$I$10,$B57+1,0),IF(AND($C$5="Non Urban Scale",$C$4="House Officer"),HLOOKUP($C$22,RDASly!$B$14:$I$18,$B57+1,0),IF(AND($C$5="Urban Scale",$C$4="Registrar"),HLOOKUP($C$43,RDASly!$B$23:$I$33,$B57+1,0),IF(AND($C$5="Non Urban Scale",$C$4="Registrar"),HLOOKUP($C$43,RDASly!$B$38:$I$48,$B57+1,0),"Error")))))</f>
        <v>Error</v>
      </c>
      <c r="D57" s="63" t="str">
        <f>IF(AND($C$4="House Officer",$B57&gt;4),"",IF(AND($C$5="Urban Scale",$C$4="House Officer"),HLOOKUP($C$43,SToNZSly!$B$6:$I$10,$B57+1,0),IF(AND($C$5="Non Urban Scale",$C$4="House Officer"),HLOOKUP($C$43,SToNZSly!$B$14:$I$18,$B57+1,0),IF(AND($C$5="Urban Scale",$C$4="Registrar"),HLOOKUP($C$43,SToNZSly!$B$23:$I$33,$B57+1,0),IF(AND($C$5="Non Urban Scale",$C$4="Registrar"),HLOOKUP($C$43,SToNZSly!$B$38:$I$48,$B57+1,0),"Error")))))</f>
        <v>Error</v>
      </c>
      <c r="E57" s="63" t="e">
        <f t="shared" si="1"/>
        <v>#VALUE!</v>
      </c>
      <c r="F57" s="137" t="str">
        <f t="shared" ref="F57:F62" si="5">IF(ISNUMBER(E57),IF(E57&gt;=0,"Increase","Decrease"),"")</f>
        <v/>
      </c>
      <c r="G57" s="38" t="str">
        <f t="shared" ref="G57:G62" si="6">IF(ISNUMBER(F57),IF(F57&gt;=0,"Increase","Decrease"),"")</f>
        <v/>
      </c>
      <c r="H57" s="38"/>
      <c r="I57" s="136" t="str">
        <f>IF(AND($C$4="House Officer",$B57&gt;4),"",IF(AND($C$5="Urban Scale",$C$4="House Officer"),HLOOKUP($C$22,SToNZSly!$B$6:$I$10,$B57+1,0),IF(AND($C$5="Non Urban Scale",$C$4="House Officer"),HLOOKUP($C$22,SToNZSly!$B$14:$I$18,$B57+1,0),IF(AND($C$5="Urban Scale",$C$4="Registrar"),HLOOKUP($C$22,SToNZSly!$B$23:$I$33,$B57+1,0),IF(AND($C$5="Non Urban Scale",$C$4="Registrar"),HLOOKUP($C$22,SToNZSly!$B$38:$I$48,$B57+1,0),"Error")))))</f>
        <v>Error</v>
      </c>
      <c r="J57" s="63" t="e">
        <f t="shared" si="2"/>
        <v>#VALUE!</v>
      </c>
      <c r="K57" s="137" t="str">
        <f t="shared" si="3"/>
        <v/>
      </c>
      <c r="L57" s="56"/>
      <c r="N57" s="52"/>
      <c r="Q57" s="52"/>
    </row>
    <row r="58" spans="1:18" x14ac:dyDescent="0.25">
      <c r="A58" s="164" t="str">
        <f t="shared" si="4"/>
        <v/>
      </c>
      <c r="B58" s="137" t="str">
        <f t="shared" ref="B58:B62" si="7">IF(C$4="Registrar",B57+1,"")</f>
        <v/>
      </c>
      <c r="C58" s="136" t="str">
        <f>IF(AND($C$4="House Officer",$B58&gt;4),"",IF(AND($C$5="Urban Scale",$C$4="House Officer"),HLOOKUP($C$43,RDASly!$B$6:$I$10,$B58+1,0),IF(AND($C$5="Non Urban Scale",$C$4="House Officer"),HLOOKUP($C$22,RDASly!$B$14:$I$18,$B58+1,0),IF(AND($C$5="Urban Scale",$C$4="Registrar"),HLOOKUP($C$43,RDASly!$B$23:$I$33,$B58+1,0),IF(AND($C$5="Non Urban Scale",$C$4="Registrar"),HLOOKUP($C$43,RDASly!$B$38:$I$48,$B58+1,0),"Error")))))</f>
        <v>Error</v>
      </c>
      <c r="D58" s="63" t="str">
        <f>IF(AND($C$4="House Officer",$B58&gt;4),"",IF(AND($C$5="Urban Scale",$C$4="House Officer"),HLOOKUP($C$43,SToNZSly!$B$6:$I$10,$B58+1,0),IF(AND($C$5="Non Urban Scale",$C$4="House Officer"),HLOOKUP($C$43,SToNZSly!$B$14:$I$18,$B58+1,0),IF(AND($C$5="Urban Scale",$C$4="Registrar"),HLOOKUP($C$43,SToNZSly!$B$23:$I$33,$B58+1,0),IF(AND($C$5="Non Urban Scale",$C$4="Registrar"),HLOOKUP($C$43,SToNZSly!$B$38:$I$48,$B58+1,0),"Error")))))</f>
        <v>Error</v>
      </c>
      <c r="E58" s="63" t="e">
        <f t="shared" si="1"/>
        <v>#VALUE!</v>
      </c>
      <c r="F58" s="137" t="str">
        <f t="shared" si="5"/>
        <v/>
      </c>
      <c r="G58" s="38" t="str">
        <f t="shared" si="6"/>
        <v/>
      </c>
      <c r="H58" s="38"/>
      <c r="I58" s="136" t="str">
        <f>IF(AND($C$4="House Officer",$B58&gt;4),"",IF(AND($C$5="Urban Scale",$C$4="House Officer"),HLOOKUP($C$22,SToNZSly!$B$6:$I$10,$B58+1,0),IF(AND($C$5="Non Urban Scale",$C$4="House Officer"),HLOOKUP($C$22,SToNZSly!$B$14:$I$18,$B58+1,0),IF(AND($C$5="Urban Scale",$C$4="Registrar"),HLOOKUP($C$22,SToNZSly!$B$23:$I$33,$B58+1,0),IF(AND($C$5="Non Urban Scale",$C$4="Registrar"),HLOOKUP($C$22,SToNZSly!$B$38:$I$48,$B58+1,0),"Error")))))</f>
        <v>Error</v>
      </c>
      <c r="J58" s="63" t="e">
        <f t="shared" si="2"/>
        <v>#VALUE!</v>
      </c>
      <c r="K58" s="137" t="str">
        <f t="shared" si="3"/>
        <v/>
      </c>
      <c r="L58" s="56"/>
      <c r="N58" s="52"/>
      <c r="Q58" s="52"/>
    </row>
    <row r="59" spans="1:18" x14ac:dyDescent="0.25">
      <c r="A59" s="164" t="str">
        <f t="shared" si="4"/>
        <v/>
      </c>
      <c r="B59" s="137" t="str">
        <f t="shared" si="7"/>
        <v/>
      </c>
      <c r="C59" s="136" t="str">
        <f>IF(AND($C$4="House Officer",$B59&gt;4),"",IF(AND($C$5="Urban Scale",$C$4="House Officer"),HLOOKUP($C$43,RDASly!$B$6:$I$10,$B59+1,0),IF(AND($C$5="Non Urban Scale",$C$4="House Officer"),HLOOKUP($C$22,RDASly!$B$14:$I$18,$B59+1,0),IF(AND($C$5="Urban Scale",$C$4="Registrar"),HLOOKUP($C$43,RDASly!$B$23:$I$33,$B59+1,0),IF(AND($C$5="Non Urban Scale",$C$4="Registrar"),HLOOKUP($C$43,RDASly!$B$38:$I$48,$B59+1,0),"Error")))))</f>
        <v>Error</v>
      </c>
      <c r="D59" s="63" t="str">
        <f>IF(AND($C$4="House Officer",$B59&gt;4),"",IF(AND($C$5="Urban Scale",$C$4="House Officer"),HLOOKUP($C$43,SToNZSly!$B$6:$I$10,$B59+1,0),IF(AND($C$5="Non Urban Scale",$C$4="House Officer"),HLOOKUP($C$43,SToNZSly!$B$14:$I$18,$B59+1,0),IF(AND($C$5="Urban Scale",$C$4="Registrar"),HLOOKUP($C$43,SToNZSly!$B$23:$I$33,$B59+1,0),IF(AND($C$5="Non Urban Scale",$C$4="Registrar"),HLOOKUP($C$43,SToNZSly!$B$38:$I$48,$B59+1,0),"Error")))))</f>
        <v>Error</v>
      </c>
      <c r="E59" s="63" t="e">
        <f t="shared" si="1"/>
        <v>#VALUE!</v>
      </c>
      <c r="F59" s="137" t="str">
        <f t="shared" si="5"/>
        <v/>
      </c>
      <c r="G59" s="38" t="str">
        <f t="shared" si="6"/>
        <v/>
      </c>
      <c r="H59" s="38"/>
      <c r="I59" s="136" t="str">
        <f>IF(AND($C$4="House Officer",$B59&gt;4),"",IF(AND($C$5="Urban Scale",$C$4="House Officer"),HLOOKUP($C$22,SToNZSly!$B$6:$I$10,$B59+1,0),IF(AND($C$5="Non Urban Scale",$C$4="House Officer"),HLOOKUP($C$22,SToNZSly!$B$14:$I$18,$B59+1,0),IF(AND($C$5="Urban Scale",$C$4="Registrar"),HLOOKUP($C$22,SToNZSly!$B$23:$I$33,$B59+1,0),IF(AND($C$5="Non Urban Scale",$C$4="Registrar"),HLOOKUP($C$22,SToNZSly!$B$38:$I$48,$B59+1,0),"Error")))))</f>
        <v>Error</v>
      </c>
      <c r="J59" s="63" t="e">
        <f t="shared" si="2"/>
        <v>#VALUE!</v>
      </c>
      <c r="K59" s="137" t="str">
        <f t="shared" si="3"/>
        <v/>
      </c>
      <c r="L59" s="56"/>
      <c r="N59" s="52"/>
      <c r="Q59" s="52"/>
    </row>
    <row r="60" spans="1:18" x14ac:dyDescent="0.25">
      <c r="A60" s="164" t="str">
        <f t="shared" si="4"/>
        <v/>
      </c>
      <c r="B60" s="137" t="str">
        <f t="shared" si="7"/>
        <v/>
      </c>
      <c r="C60" s="136" t="str">
        <f>IF(AND($C$4="House Officer",$B60&gt;4),"",IF(AND($C$5="Urban Scale",$C$4="House Officer"),HLOOKUP($C$43,RDASly!$B$6:$I$10,$B60+1,0),IF(AND($C$5="Non Urban Scale",$C$4="House Officer"),HLOOKUP($C$22,RDASly!$B$14:$I$18,$B60+1,0),IF(AND($C$5="Urban Scale",$C$4="Registrar"),HLOOKUP($C$43,RDASly!$B$23:$I$33,$B60+1,0),IF(AND($C$5="Non Urban Scale",$C$4="Registrar"),HLOOKUP($C$43,RDASly!$B$38:$I$48,$B60+1,0),"Error")))))</f>
        <v>Error</v>
      </c>
      <c r="D60" s="63" t="str">
        <f>IF(AND($C$4="House Officer",$B60&gt;4),"",IF(AND($C$5="Urban Scale",$C$4="House Officer"),HLOOKUP($C$43,SToNZSly!$B$6:$I$10,$B60+1,0),IF(AND($C$5="Non Urban Scale",$C$4="House Officer"),HLOOKUP($C$43,SToNZSly!$B$14:$I$18,$B60+1,0),IF(AND($C$5="Urban Scale",$C$4="Registrar"),HLOOKUP($C$43,SToNZSly!$B$23:$I$33,$B60+1,0),IF(AND($C$5="Non Urban Scale",$C$4="Registrar"),HLOOKUP($C$43,SToNZSly!$B$38:$I$48,$B60+1,0),"Error")))))</f>
        <v>Error</v>
      </c>
      <c r="E60" s="63" t="e">
        <f t="shared" si="1"/>
        <v>#VALUE!</v>
      </c>
      <c r="F60" s="137" t="str">
        <f t="shared" si="5"/>
        <v/>
      </c>
      <c r="G60" s="38" t="str">
        <f t="shared" si="6"/>
        <v/>
      </c>
      <c r="H60" s="38"/>
      <c r="I60" s="136" t="str">
        <f>IF(AND($C$4="House Officer",$B60&gt;4),"",IF(AND($C$5="Urban Scale",$C$4="House Officer"),HLOOKUP($C$22,SToNZSly!$B$6:$I$10,$B60+1,0),IF(AND($C$5="Non Urban Scale",$C$4="House Officer"),HLOOKUP($C$22,SToNZSly!$B$14:$I$18,$B60+1,0),IF(AND($C$5="Urban Scale",$C$4="Registrar"),HLOOKUP($C$22,SToNZSly!$B$23:$I$33,$B60+1,0),IF(AND($C$5="Non Urban Scale",$C$4="Registrar"),HLOOKUP($C$22,SToNZSly!$B$38:$I$48,$B60+1,0),"Error")))))</f>
        <v>Error</v>
      </c>
      <c r="J60" s="63" t="e">
        <f t="shared" si="2"/>
        <v>#VALUE!</v>
      </c>
      <c r="K60" s="137" t="str">
        <f t="shared" si="3"/>
        <v/>
      </c>
      <c r="L60" s="56"/>
      <c r="N60" s="52"/>
      <c r="Q60" s="52"/>
    </row>
    <row r="61" spans="1:18" x14ac:dyDescent="0.25">
      <c r="A61" s="164" t="str">
        <f t="shared" si="4"/>
        <v/>
      </c>
      <c r="B61" s="137" t="str">
        <f t="shared" si="7"/>
        <v/>
      </c>
      <c r="C61" s="136" t="str">
        <f>IF(AND($C$4="House Officer",$B61&gt;4),"",IF(AND($C$5="Urban Scale",$C$4="House Officer"),HLOOKUP($C$43,RDASly!$B$6:$I$10,$B61+1,0),IF(AND($C$5="Non Urban Scale",$C$4="House Officer"),HLOOKUP($C$22,RDASly!$B$14:$I$18,$B61+1,0),IF(AND($C$5="Urban Scale",$C$4="Registrar"),HLOOKUP($C$43,RDASly!$B$23:$I$33,$B61+1,0),IF(AND($C$5="Non Urban Scale",$C$4="Registrar"),HLOOKUP($C$43,RDASly!$B$38:$I$48,$B61+1,0),"Error")))))</f>
        <v>Error</v>
      </c>
      <c r="D61" s="63" t="str">
        <f>IF(AND($C$4="House Officer",$B61&gt;4),"",IF(AND($C$5="Urban Scale",$C$4="House Officer"),HLOOKUP($C$43,SToNZSly!$B$6:$I$10,$B61+1,0),IF(AND($C$5="Non Urban Scale",$C$4="House Officer"),HLOOKUP($C$43,SToNZSly!$B$14:$I$18,$B61+1,0),IF(AND($C$5="Urban Scale",$C$4="Registrar"),HLOOKUP($C$43,SToNZSly!$B$23:$I$33,$B61+1,0),IF(AND($C$5="Non Urban Scale",$C$4="Registrar"),HLOOKUP($C$43,SToNZSly!$B$38:$I$48,$B61+1,0),"Error")))))</f>
        <v>Error</v>
      </c>
      <c r="E61" s="63" t="e">
        <f t="shared" si="1"/>
        <v>#VALUE!</v>
      </c>
      <c r="F61" s="137" t="str">
        <f t="shared" si="5"/>
        <v/>
      </c>
      <c r="G61" s="38" t="str">
        <f t="shared" si="6"/>
        <v/>
      </c>
      <c r="H61" s="38"/>
      <c r="I61" s="136" t="str">
        <f>IF(AND($C$4="House Officer",$B61&gt;4),"",IF(AND($C$5="Urban Scale",$C$4="House Officer"),HLOOKUP($C$22,SToNZSly!$B$6:$I$10,$B61+1,0),IF(AND($C$5="Non Urban Scale",$C$4="House Officer"),HLOOKUP($C$22,SToNZSly!$B$14:$I$18,$B61+1,0),IF(AND($C$5="Urban Scale",$C$4="Registrar"),HLOOKUP($C$22,SToNZSly!$B$23:$I$33,$B61+1,0),IF(AND($C$5="Non Urban Scale",$C$4="Registrar"),HLOOKUP($C$22,SToNZSly!$B$38:$I$48,$B61+1,0),"Error")))))</f>
        <v>Error</v>
      </c>
      <c r="J61" s="63" t="e">
        <f t="shared" si="2"/>
        <v>#VALUE!</v>
      </c>
      <c r="K61" s="137" t="str">
        <f t="shared" si="3"/>
        <v/>
      </c>
      <c r="L61" s="56"/>
      <c r="N61" s="52"/>
      <c r="Q61" s="52"/>
    </row>
    <row r="62" spans="1:18" ht="15.75" thickBot="1" x14ac:dyDescent="0.3">
      <c r="A62" s="209" t="str">
        <f t="shared" si="4"/>
        <v/>
      </c>
      <c r="B62" s="139" t="str">
        <f t="shared" si="7"/>
        <v/>
      </c>
      <c r="C62" s="136" t="str">
        <f>IF(AND($C$4="House Officer",$B62&gt;4),"",IF(AND($C$5="Urban Scale",$C$4="House Officer"),HLOOKUP($C$43,RDASly!$B$6:$I$10,$B62+1,0),IF(AND($C$5="Non Urban Scale",$C$4="House Officer"),HLOOKUP($C$22,RDASly!$B$14:$I$18,$B62+1,0),IF(AND($C$5="Urban Scale",$C$4="Registrar"),HLOOKUP($C$43,RDASly!$B$23:$I$33,$B62+1,0),IF(AND($C$5="Non Urban Scale",$C$4="Registrar"),HLOOKUP($C$43,RDASly!$B$38:$I$48,$B62+1,0),"Error")))))</f>
        <v>Error</v>
      </c>
      <c r="D62" s="63" t="str">
        <f>IF(AND($C$4="House Officer",$B62&gt;4),"",IF(AND($C$5="Urban Scale",$C$4="House Officer"),HLOOKUP($C$43,SToNZSly!$B$6:$I$10,$B62+1,0),IF(AND($C$5="Non Urban Scale",$C$4="House Officer"),HLOOKUP($C$43,SToNZSly!$B$14:$I$18,$B62+1,0),IF(AND($C$5="Urban Scale",$C$4="Registrar"),HLOOKUP($C$43,SToNZSly!$B$23:$I$33,$B62+1,0),IF(AND($C$5="Non Urban Scale",$C$4="Registrar"),HLOOKUP($C$43,SToNZSly!$B$38:$I$48,$B62+1,0),"Error")))))</f>
        <v>Error</v>
      </c>
      <c r="E62" s="64" t="e">
        <f t="shared" si="1"/>
        <v>#VALUE!</v>
      </c>
      <c r="F62" s="139" t="str">
        <f t="shared" si="5"/>
        <v/>
      </c>
      <c r="G62" s="38" t="str">
        <f t="shared" si="6"/>
        <v/>
      </c>
      <c r="H62" s="38"/>
      <c r="I62" s="138" t="str">
        <f>IF(AND($C$4="House Officer",$B62&gt;4),"",IF(AND($C$5="Urban Scale",$C$4="House Officer"),HLOOKUP($C$22,SToNZSly!$B$6:$I$10,$B62+1,0),IF(AND($C$5="Non Urban Scale",$C$4="House Officer"),HLOOKUP($C$22,SToNZSly!$B$14:$I$18,$B62+1,0),IF(AND($C$5="Urban Scale",$C$4="Registrar"),HLOOKUP($C$22,SToNZSly!$B$23:$I$33,$B62+1,0),IF(AND($C$5="Non Urban Scale",$C$4="Registrar"),HLOOKUP($C$22,SToNZSly!$B$38:$I$48,$B62+1,0),"Error")))))</f>
        <v>Error</v>
      </c>
      <c r="J62" s="64" t="e">
        <f t="shared" si="2"/>
        <v>#VALUE!</v>
      </c>
      <c r="K62" s="139" t="str">
        <f t="shared" si="3"/>
        <v/>
      </c>
      <c r="L62" s="56"/>
      <c r="N62" s="52"/>
      <c r="Q62" s="52"/>
    </row>
    <row r="63" spans="1:18" x14ac:dyDescent="0.25">
      <c r="A63" s="24"/>
      <c r="B63" s="38"/>
      <c r="C63" s="208"/>
      <c r="D63" s="208"/>
      <c r="E63" s="63"/>
      <c r="F63" s="66"/>
      <c r="G63" s="22"/>
      <c r="H63" s="22"/>
      <c r="I63" s="66"/>
      <c r="J63" s="22"/>
      <c r="K63" s="151"/>
      <c r="L63" s="56"/>
      <c r="N63" s="52"/>
      <c r="Q63" s="52"/>
    </row>
    <row r="64" spans="1:18" ht="18.75" x14ac:dyDescent="0.3">
      <c r="A64" s="67" t="s">
        <v>63</v>
      </c>
      <c r="B64" s="38"/>
      <c r="C64" s="63"/>
      <c r="D64" s="63"/>
      <c r="E64" s="63"/>
      <c r="F64" s="66"/>
      <c r="G64" s="22"/>
      <c r="H64" s="22"/>
      <c r="I64" s="66"/>
      <c r="J64" s="22"/>
      <c r="K64" s="151"/>
      <c r="L64" s="56"/>
      <c r="N64" s="52"/>
      <c r="Q64" s="52"/>
    </row>
    <row r="65" spans="1:17" ht="19.5" thickBot="1" x14ac:dyDescent="0.35">
      <c r="A65" s="67"/>
      <c r="B65" s="38"/>
      <c r="C65" s="63"/>
      <c r="D65" s="63"/>
      <c r="E65" s="63"/>
      <c r="F65" s="66"/>
      <c r="G65" s="22"/>
      <c r="H65" s="22"/>
      <c r="I65" s="22"/>
      <c r="J65" s="22"/>
      <c r="K65" s="152"/>
      <c r="L65" s="56"/>
      <c r="N65" s="52"/>
      <c r="Q65" s="52"/>
    </row>
    <row r="66" spans="1:17" s="59" customFormat="1" ht="42.75" customHeight="1" x14ac:dyDescent="0.25">
      <c r="A66" s="144" t="s">
        <v>59</v>
      </c>
      <c r="B66" s="142" t="s">
        <v>60</v>
      </c>
      <c r="C66" s="131" t="s">
        <v>153</v>
      </c>
      <c r="D66" s="132" t="s">
        <v>154</v>
      </c>
      <c r="E66" s="133" t="s">
        <v>61</v>
      </c>
      <c r="F66" s="134" t="s">
        <v>66</v>
      </c>
      <c r="G66" s="31"/>
      <c r="H66" s="22"/>
      <c r="I66" s="140" t="s">
        <v>155</v>
      </c>
      <c r="J66" s="133" t="s">
        <v>61</v>
      </c>
      <c r="K66" s="134" t="s">
        <v>66</v>
      </c>
      <c r="L66" s="58"/>
      <c r="N66" s="60"/>
      <c r="Q66" s="60"/>
    </row>
    <row r="67" spans="1:17" x14ac:dyDescent="0.25">
      <c r="A67" s="61">
        <f>C5</f>
        <v>0</v>
      </c>
      <c r="B67" s="143">
        <f>+C4</f>
        <v>0</v>
      </c>
      <c r="C67" s="135">
        <f>C47</f>
        <v>0</v>
      </c>
      <c r="D67" s="130">
        <f>C45</f>
        <v>0</v>
      </c>
      <c r="E67" s="22"/>
      <c r="F67" s="101"/>
      <c r="G67" s="22"/>
      <c r="H67" s="22"/>
      <c r="I67" s="135">
        <f>C23</f>
        <v>0</v>
      </c>
      <c r="J67" s="22"/>
      <c r="K67" s="101"/>
    </row>
    <row r="68" spans="1:17" x14ac:dyDescent="0.25">
      <c r="A68" s="164">
        <f>C$5</f>
        <v>0</v>
      </c>
      <c r="B68" s="137">
        <v>1</v>
      </c>
      <c r="C68" s="136" t="str">
        <f>IF(AND($C$4="House Officer",$B68&gt;4),"",IF(AND($C$5="Urban Scale",$C$4="House Officer"),HLOOKUP($C$47,RDASly!$B$6:$I$10,$B68+1,0),IF(AND($C$5="Non Urban Scale",$C$4="House Officer"),HLOOKUP($C$47,RDASly!$B$14:$I$18,$B68+1,0),IF(AND($C$5="Urban Scale",$C$4="Registrar"),HLOOKUP($C$47,RDASly!$B$23:$I$33,$B68+1,0),IF(AND($C$5="Non Urban Scale",$C$4="Registrar"),HLOOKUP($C$47,RDASly!$B$38:$I$48,$B68+1,0),"Error")))))</f>
        <v>Error</v>
      </c>
      <c r="D68" s="63" t="str">
        <f>IF(AND($C$4="House Officer",$B68&gt;4),"",IF(AND($C$5="Urban Scale",$C$4="House Officer"),HLOOKUP($C$45,SToNZSly!$B$6:$I$10,$B68+1,0),IF(AND($C$5="Non Urban Scale",$C$4="House Officer"),HLOOKUP($C$45,SToNZSly!$B$14:$I$18,$B68+1,0),IF(AND($C$5="Urban Scale",$C$4="Registrar"),HLOOKUP($C$45,SToNZSly!$B$23:$I$33,$B68+1,0),IF(AND($C$5="Non Urban Scale",$C$4="Registrar"),HLOOKUP($C$45,SToNZSly!$B$38:$I$48,$B68+1,0),"Error")))))</f>
        <v>Error</v>
      </c>
      <c r="E68" s="63" t="e">
        <f>IF(AND($C$4="House Officer",$B68&gt;4),"",D68-C68)</f>
        <v>#VALUE!</v>
      </c>
      <c r="F68" s="137" t="str">
        <f>IF(ISNUMBER(E68),IF(E68&gt;=0,"Increase","Decrease"),"")</f>
        <v/>
      </c>
      <c r="G68" s="22"/>
      <c r="H68" s="38"/>
      <c r="I68" s="136" t="str">
        <f>IF(AND($C$4="House Officer",$B68&gt;4),"",IF(AND($C$5="Urban Scale",$C$4="House Officer"),HLOOKUP($C$23,SToNZSly!$B$6:$I$10,$B68+1,0),IF(AND($C$5="Non Urban Scale",$C$4="House Officer"),HLOOKUP($C$23,SToNZSly!$B$14:$I$18,$B68+1,0),IF(AND($C$5="Urban Scale",$C$4="Registrar"),HLOOKUP($C$23,SToNZSly!$B$23:$I$33,$B68+1,0),IF(AND($C$5="Non Urban Scale",$C$4="Registrar"),HLOOKUP($C$23,SToNZSly!$B$38:$I$48,$B68+1,0),"Error")))))</f>
        <v>Error</v>
      </c>
      <c r="J68" s="63" t="e">
        <f>IF(AND($C$4="House Officer",$B68&gt;4),"",I68-C68)</f>
        <v>#VALUE!</v>
      </c>
      <c r="K68" s="137" t="str">
        <f>IF(ISNUMBER(J68),IF(J68&gt;=0,"Increase","Decrease"),"")</f>
        <v/>
      </c>
    </row>
    <row r="69" spans="1:17" x14ac:dyDescent="0.25">
      <c r="A69" s="164">
        <f t="shared" ref="A69:A71" si="8">C$5</f>
        <v>0</v>
      </c>
      <c r="B69" s="137">
        <v>2</v>
      </c>
      <c r="C69" s="136" t="str">
        <f>IF(AND($C$4="House Officer",$B69&gt;4),"",IF(AND($C$5="Urban Scale",$C$4="House Officer"),HLOOKUP($C$47,RDASly!$B$6:$I$10,$B69+1,0),IF(AND($C$5="Non Urban Scale",$C$4="House Officer"),HLOOKUP($C$47,RDASly!$B$14:$I$18,$B69+1,0),IF(AND($C$5="Urban Scale",$C$4="Registrar"),HLOOKUP($C$47,RDASly!$B$23:$I$33,$B69+1,0),IF(AND($C$5="Non Urban Scale",$C$4="Registrar"),HLOOKUP($C$47,RDASly!$B$38:$I$48,$B69+1,0),"Error")))))</f>
        <v>Error</v>
      </c>
      <c r="D69" s="63" t="str">
        <f>IF(AND($C$4="House Officer",$B69&gt;4),"",IF(AND($C$5="Urban Scale",$C$4="House Officer"),HLOOKUP($C$45,SToNZSly!$B$6:$I$10,$B69+1,0),IF(AND($C$5="Non Urban Scale",$C$4="House Officer"),HLOOKUP($C$45,SToNZSly!$B$14:$I$18,$B69+1,0),IF(AND($C$5="Urban Scale",$C$4="Registrar"),HLOOKUP($C$45,SToNZSly!$B$23:$I$33,$B69+1,0),IF(AND($C$5="Non Urban Scale",$C$4="Registrar"),HLOOKUP($C$45,SToNZSly!$B$38:$I$48,$B69+1,0),"Error")))))</f>
        <v>Error</v>
      </c>
      <c r="E69" s="63" t="e">
        <f t="shared" ref="E69:E77" si="9">IF(AND($C$4="House Officer",$B69&gt;4),"",D69-C69)</f>
        <v>#VALUE!</v>
      </c>
      <c r="F69" s="137" t="str">
        <f>IF(ISNUMBER(E69),IF(E69&gt;=0,"Increase","Decrease"),"")</f>
        <v/>
      </c>
      <c r="G69" s="22"/>
      <c r="H69" s="38"/>
      <c r="I69" s="136" t="str">
        <f>IF(AND($C$4="House Officer",$B69&gt;4),"",IF(AND($C$5="Urban Scale",$C$4="House Officer"),HLOOKUP($C$23,SToNZSly!$B$6:$I$10,$B69+1,0),IF(AND($C$5="Non Urban Scale",$C$4="House Officer"),HLOOKUP($C$23,SToNZSly!$B$14:$I$18,$B69+1,0),IF(AND($C$5="Urban Scale",$C$4="Registrar"),HLOOKUP($C$23,SToNZSly!$B$23:$I$33,$B69+1,0),IF(AND($C$5="Non Urban Scale",$C$4="Registrar"),HLOOKUP($C$23,SToNZSly!$B$38:$I$48,$B69+1,0),"Error")))))</f>
        <v>Error</v>
      </c>
      <c r="J69" s="63" t="e">
        <f t="shared" ref="J69:J77" si="10">IF(AND($C$4="House Officer",$B69&gt;4),"",I69-C69)</f>
        <v>#VALUE!</v>
      </c>
      <c r="K69" s="137" t="str">
        <f>IF(ISNUMBER(J69),IF(J69&gt;=0,"Increase","Decrease"),"")</f>
        <v/>
      </c>
    </row>
    <row r="70" spans="1:17" x14ac:dyDescent="0.25">
      <c r="A70" s="164">
        <f t="shared" si="8"/>
        <v>0</v>
      </c>
      <c r="B70" s="137">
        <v>3</v>
      </c>
      <c r="C70" s="136" t="str">
        <f>IF(AND($C$4="House Officer",$B70&gt;4),"",IF(AND($C$5="Urban Scale",$C$4="House Officer"),HLOOKUP($C$47,RDASly!$B$6:$I$10,$B70+1,0),IF(AND($C$5="Non Urban Scale",$C$4="House Officer"),HLOOKUP($C$47,RDASly!$B$14:$I$18,$B70+1,0),IF(AND($C$5="Urban Scale",$C$4="Registrar"),HLOOKUP($C$47,RDASly!$B$23:$I$33,$B70+1,0),IF(AND($C$5="Non Urban Scale",$C$4="Registrar"),HLOOKUP($C$47,RDASly!$B$38:$I$48,$B70+1,0),"Error")))))</f>
        <v>Error</v>
      </c>
      <c r="D70" s="63" t="str">
        <f>IF(AND($C$4="House Officer",$B70&gt;4),"",IF(AND($C$5="Urban Scale",$C$4="House Officer"),HLOOKUP($C$45,SToNZSly!$B$6:$I$10,$B70+1,0),IF(AND($C$5="Non Urban Scale",$C$4="House Officer"),HLOOKUP($C$45,SToNZSly!$B$14:$I$18,$B70+1,0),IF(AND($C$5="Urban Scale",$C$4="Registrar"),HLOOKUP($C$45,SToNZSly!$B$23:$I$33,$B70+1,0),IF(AND($C$5="Non Urban Scale",$C$4="Registrar"),HLOOKUP($C$45,SToNZSly!$B$38:$I$48,$B70+1,0),"Error")))))</f>
        <v>Error</v>
      </c>
      <c r="E70" s="63" t="e">
        <f t="shared" si="9"/>
        <v>#VALUE!</v>
      </c>
      <c r="F70" s="137" t="str">
        <f>IF(ISNUMBER(E70),IF(E70&gt;=0,"Increase","Decrease"),"")</f>
        <v/>
      </c>
      <c r="G70" s="22"/>
      <c r="H70" s="38"/>
      <c r="I70" s="136" t="str">
        <f>IF(AND($C$4="House Officer",$B70&gt;4),"",IF(AND($C$5="Urban Scale",$C$4="House Officer"),HLOOKUP($C$23,SToNZSly!$B$6:$I$10,$B70+1,0),IF(AND($C$5="Non Urban Scale",$C$4="House Officer"),HLOOKUP($C$23,SToNZSly!$B$14:$I$18,$B70+1,0),IF(AND($C$5="Urban Scale",$C$4="Registrar"),HLOOKUP($C$23,SToNZSly!$B$23:$I$33,$B70+1,0),IF(AND($C$5="Non Urban Scale",$C$4="Registrar"),HLOOKUP($C$23,SToNZSly!$B$38:$I$48,$B70+1,0),"Error")))))</f>
        <v>Error</v>
      </c>
      <c r="J70" s="63" t="e">
        <f t="shared" si="10"/>
        <v>#VALUE!</v>
      </c>
      <c r="K70" s="137" t="str">
        <f>IF(ISNUMBER(J70),IF(J70&gt;=0,"Increase","Decrease"),"")</f>
        <v/>
      </c>
    </row>
    <row r="71" spans="1:17" x14ac:dyDescent="0.25">
      <c r="A71" s="164">
        <f t="shared" si="8"/>
        <v>0</v>
      </c>
      <c r="B71" s="137">
        <v>4</v>
      </c>
      <c r="C71" s="136" t="str">
        <f>IF(AND($C$4="House Officer",$B71&gt;4),"",IF(AND($C$5="Urban Scale",$C$4="House Officer"),HLOOKUP($C$47,RDASly!$B$6:$I$10,$B71+1,0),IF(AND($C$5="Non Urban Scale",$C$4="House Officer"),HLOOKUP($C$47,RDASly!$B$14:$I$18,$B71+1,0),IF(AND($C$5="Urban Scale",$C$4="Registrar"),HLOOKUP($C$47,RDASly!$B$23:$I$33,$B71+1,0),IF(AND($C$5="Non Urban Scale",$C$4="Registrar"),HLOOKUP($C$47,RDASly!$B$38:$I$48,$B71+1,0),"Error")))))</f>
        <v>Error</v>
      </c>
      <c r="D71" s="63" t="str">
        <f>IF(AND($C$4="House Officer",$B71&gt;4),"",IF(AND($C$5="Urban Scale",$C$4="House Officer"),HLOOKUP($C$45,SToNZSly!$B$6:$I$10,$B71+1,0),IF(AND($C$5="Non Urban Scale",$C$4="House Officer"),HLOOKUP($C$45,SToNZSly!$B$14:$I$18,$B71+1,0),IF(AND($C$5="Urban Scale",$C$4="Registrar"),HLOOKUP($C$45,SToNZSly!$B$23:$I$33,$B71+1,0),IF(AND($C$5="Non Urban Scale",$C$4="Registrar"),HLOOKUP($C$45,SToNZSly!$B$38:$I$48,$B71+1,0),"Error")))))</f>
        <v>Error</v>
      </c>
      <c r="E71" s="63" t="e">
        <f t="shared" si="9"/>
        <v>#VALUE!</v>
      </c>
      <c r="F71" s="137" t="str">
        <f>IF(ISNUMBER(E71),IF(E71&gt;=0,"Increase","Decrease"),"")</f>
        <v/>
      </c>
      <c r="G71" s="22"/>
      <c r="H71" s="38"/>
      <c r="I71" s="136" t="str">
        <f>IF(AND($C$4="House Officer",$B71&gt;4),"",IF(AND($C$5="Urban Scale",$C$4="House Officer"),HLOOKUP($C$23,SToNZSly!$B$6:$I$10,$B71+1,0),IF(AND($C$5="Non Urban Scale",$C$4="House Officer"),HLOOKUP($C$23,SToNZSly!$B$14:$I$18,$B71+1,0),IF(AND($C$5="Urban Scale",$C$4="Registrar"),HLOOKUP($C$23,SToNZSly!$B$23:$I$33,$B71+1,0),IF(AND($C$5="Non Urban Scale",$C$4="Registrar"),HLOOKUP($C$23,SToNZSly!$B$38:$I$48,$B71+1,0),"Error")))))</f>
        <v>Error</v>
      </c>
      <c r="J71" s="63" t="e">
        <f t="shared" si="10"/>
        <v>#VALUE!</v>
      </c>
      <c r="K71" s="137" t="str">
        <f>IF(ISNUMBER(J71),IF(J71&gt;=0,"Increase","Decrease"),"")</f>
        <v/>
      </c>
    </row>
    <row r="72" spans="1:17" x14ac:dyDescent="0.25">
      <c r="A72" s="164" t="str">
        <f t="shared" ref="A72:A77" si="11">IF(C$4="Registrar",C$5,"")</f>
        <v/>
      </c>
      <c r="B72" s="137" t="str">
        <f>IF(C$4="Registrar",B71+1,"")</f>
        <v/>
      </c>
      <c r="C72" s="136" t="str">
        <f>IF(AND($C$4="House Officer",$B72&gt;4),"",IF(AND($C$5="Urban Scale",$C$4="House Officer"),HLOOKUP($C$47,RDASly!$B$6:$I$10,$B72+1,0),IF(AND($C$5="Non Urban Scale",$C$4="House Officer"),HLOOKUP($C$47,RDASly!$B$14:$I$18,$B72+1,0),IF(AND($C$5="Urban Scale",$C$4="Registrar"),HLOOKUP($C$47,RDASly!$B$23:$I$33,$B72+1,0),IF(AND($C$5="Non Urban Scale",$C$4="Registrar"),HLOOKUP($C$47,RDASly!$B$38:$I$48,$B72+1,0),"Error")))))</f>
        <v>Error</v>
      </c>
      <c r="D72" s="63" t="str">
        <f>IF(AND($C$4="House Officer",$B72&gt;4),"",IF(AND($C$5="Urban Scale",$C$4="House Officer"),HLOOKUP($C$45,SToNZSly!$B$6:$I$10,$B72+1,0),IF(AND($C$5="Non Urban Scale",$C$4="House Officer"),HLOOKUP($C$45,SToNZSly!$B$14:$I$18,$B72+1,0),IF(AND($C$5="Urban Scale",$C$4="Registrar"),HLOOKUP($C$45,SToNZSly!$B$23:$I$33,$B72+1,0),IF(AND($C$5="Non Urban Scale",$C$4="Registrar"),HLOOKUP($C$45,SToNZSly!$B$38:$I$48,$B72+1,0),"Error")))))</f>
        <v>Error</v>
      </c>
      <c r="E72" s="63" t="e">
        <f t="shared" si="9"/>
        <v>#VALUE!</v>
      </c>
      <c r="F72" s="137" t="str">
        <f t="shared" ref="F72:F77" si="12">IF(ISNUMBER(E72),IF(E72&gt;=0,"Increase","Decrease"),"")</f>
        <v/>
      </c>
      <c r="G72" s="22"/>
      <c r="H72" s="28"/>
      <c r="I72" s="136" t="str">
        <f>IF(AND($C$4="House Officer",$B72&gt;4),"",IF(AND($C$5="Urban Scale",$C$4="House Officer"),HLOOKUP($C$23,SToNZSly!$B$6:$I$10,$B72+1,0),IF(AND($C$5="Non Urban Scale",$C$4="House Officer"),HLOOKUP($C$23,SToNZSly!$B$14:$I$18,$B72+1,0),IF(AND($C$5="Urban Scale",$C$4="Registrar"),HLOOKUP($C$23,SToNZSly!$B$23:$I$33,$B72+1,0),IF(AND($C$5="Non Urban Scale",$C$4="Registrar"),HLOOKUP($C$23,SToNZSly!$B$38:$I$48,$B72+1,0),"Error")))))</f>
        <v>Error</v>
      </c>
      <c r="J72" s="63" t="e">
        <f t="shared" si="10"/>
        <v>#VALUE!</v>
      </c>
      <c r="K72" s="137" t="str">
        <f t="shared" ref="K72:K77" si="13">IF(ISNUMBER(J72),IF(J72&gt;=0,"Increase","Decrease"),"")</f>
        <v/>
      </c>
    </row>
    <row r="73" spans="1:17" x14ac:dyDescent="0.25">
      <c r="A73" s="164" t="str">
        <f t="shared" si="11"/>
        <v/>
      </c>
      <c r="B73" s="137" t="str">
        <f t="shared" ref="B73:B77" si="14">IF(C$4="Registrar",B72+1,"")</f>
        <v/>
      </c>
      <c r="C73" s="136" t="str">
        <f>IF(AND($C$4="House Officer",$B73&gt;4),"",IF(AND($C$5="Urban Scale",$C$4="House Officer"),HLOOKUP($C$47,RDASly!$B$6:$I$10,$B73+1,0),IF(AND($C$5="Non Urban Scale",$C$4="House Officer"),HLOOKUP($C$47,RDASly!$B$14:$I$18,$B73+1,0),IF(AND($C$5="Urban Scale",$C$4="Registrar"),HLOOKUP($C$47,RDASly!$B$23:$I$33,$B73+1,0),IF(AND($C$5="Non Urban Scale",$C$4="Registrar"),HLOOKUP($C$47,RDASly!$B$38:$I$48,$B73+1,0),"Error")))))</f>
        <v>Error</v>
      </c>
      <c r="D73" s="63" t="str">
        <f>IF(AND($C$4="House Officer",$B73&gt;4),"",IF(AND($C$5="Urban Scale",$C$4="House Officer"),HLOOKUP($C$45,SToNZSly!$B$6:$I$10,$B73+1,0),IF(AND($C$5="Non Urban Scale",$C$4="House Officer"),HLOOKUP($C$45,SToNZSly!$B$14:$I$18,$B73+1,0),IF(AND($C$5="Urban Scale",$C$4="Registrar"),HLOOKUP($C$45,SToNZSly!$B$23:$I$33,$B73+1,0),IF(AND($C$5="Non Urban Scale",$C$4="Registrar"),HLOOKUP($C$45,SToNZSly!$B$38:$I$48,$B73+1,0),"Error")))))</f>
        <v>Error</v>
      </c>
      <c r="E73" s="63" t="e">
        <f t="shared" si="9"/>
        <v>#VALUE!</v>
      </c>
      <c r="F73" s="137" t="str">
        <f t="shared" si="12"/>
        <v/>
      </c>
      <c r="G73" s="22"/>
      <c r="H73" s="69"/>
      <c r="I73" s="136" t="str">
        <f>IF(AND($C$4="House Officer",$B73&gt;4),"",IF(AND($C$5="Urban Scale",$C$4="House Officer"),HLOOKUP($C$23,SToNZSly!$B$6:$I$10,$B73+1,0),IF(AND($C$5="Non Urban Scale",$C$4="House Officer"),HLOOKUP($C$23,SToNZSly!$B$14:$I$18,$B73+1,0),IF(AND($C$5="Urban Scale",$C$4="Registrar"),HLOOKUP($C$23,SToNZSly!$B$23:$I$33,$B73+1,0),IF(AND($C$5="Non Urban Scale",$C$4="Registrar"),HLOOKUP($C$23,SToNZSly!$B$38:$I$48,$B73+1,0),"Error")))))</f>
        <v>Error</v>
      </c>
      <c r="J73" s="63" t="e">
        <f t="shared" si="10"/>
        <v>#VALUE!</v>
      </c>
      <c r="K73" s="137" t="str">
        <f t="shared" si="13"/>
        <v/>
      </c>
    </row>
    <row r="74" spans="1:17" x14ac:dyDescent="0.25">
      <c r="A74" s="164" t="str">
        <f t="shared" si="11"/>
        <v/>
      </c>
      <c r="B74" s="137" t="str">
        <f t="shared" si="14"/>
        <v/>
      </c>
      <c r="C74" s="136" t="str">
        <f>IF(AND($C$4="House Officer",$B74&gt;4),"",IF(AND($C$5="Urban Scale",$C$4="House Officer"),HLOOKUP($C$47,RDASly!$B$6:$I$10,$B74+1,0),IF(AND($C$5="Non Urban Scale",$C$4="House Officer"),HLOOKUP($C$47,RDASly!$B$14:$I$18,$B74+1,0),IF(AND($C$5="Urban Scale",$C$4="Registrar"),HLOOKUP($C$47,RDASly!$B$23:$I$33,$B74+1,0),IF(AND($C$5="Non Urban Scale",$C$4="Registrar"),HLOOKUP($C$47,RDASly!$B$38:$I$48,$B74+1,0),"Error")))))</f>
        <v>Error</v>
      </c>
      <c r="D74" s="63" t="str">
        <f>IF(AND($C$4="House Officer",$B74&gt;4),"",IF(AND($C$5="Urban Scale",$C$4="House Officer"),HLOOKUP($C$45,SToNZSly!$B$6:$I$10,$B74+1,0),IF(AND($C$5="Non Urban Scale",$C$4="House Officer"),HLOOKUP($C$45,SToNZSly!$B$14:$I$18,$B74+1,0),IF(AND($C$5="Urban Scale",$C$4="Registrar"),HLOOKUP($C$45,SToNZSly!$B$23:$I$33,$B74+1,0),IF(AND($C$5="Non Urban Scale",$C$4="Registrar"),HLOOKUP($C$45,SToNZSly!$B$38:$I$48,$B74+1,0),"Error")))))</f>
        <v>Error</v>
      </c>
      <c r="E74" s="63" t="e">
        <f t="shared" si="9"/>
        <v>#VALUE!</v>
      </c>
      <c r="F74" s="137" t="str">
        <f t="shared" si="12"/>
        <v/>
      </c>
      <c r="G74" s="22"/>
      <c r="H74" s="70"/>
      <c r="I74" s="136" t="str">
        <f>IF(AND($C$4="House Officer",$B74&gt;4),"",IF(AND($C$5="Urban Scale",$C$4="House Officer"),HLOOKUP($C$23,SToNZSly!$B$6:$I$10,$B74+1,0),IF(AND($C$5="Non Urban Scale",$C$4="House Officer"),HLOOKUP($C$23,SToNZSly!$B$14:$I$18,$B74+1,0),IF(AND($C$5="Urban Scale",$C$4="Registrar"),HLOOKUP($C$23,SToNZSly!$B$23:$I$33,$B74+1,0),IF(AND($C$5="Non Urban Scale",$C$4="Registrar"),HLOOKUP($C$23,SToNZSly!$B$38:$I$48,$B74+1,0),"Error")))))</f>
        <v>Error</v>
      </c>
      <c r="J74" s="63" t="e">
        <f t="shared" si="10"/>
        <v>#VALUE!</v>
      </c>
      <c r="K74" s="137" t="str">
        <f t="shared" si="13"/>
        <v/>
      </c>
    </row>
    <row r="75" spans="1:17" x14ac:dyDescent="0.25">
      <c r="A75" s="164" t="str">
        <f t="shared" si="11"/>
        <v/>
      </c>
      <c r="B75" s="137" t="str">
        <f t="shared" si="14"/>
        <v/>
      </c>
      <c r="C75" s="136" t="str">
        <f>IF(AND($C$4="House Officer",$B75&gt;4),"",IF(AND($C$5="Urban Scale",$C$4="House Officer"),HLOOKUP($C$47,RDASly!$B$6:$I$10,$B75+1,0),IF(AND($C$5="Non Urban Scale",$C$4="House Officer"),HLOOKUP($C$47,RDASly!$B$14:$I$18,$B75+1,0),IF(AND($C$5="Urban Scale",$C$4="Registrar"),HLOOKUP($C$47,RDASly!$B$23:$I$33,$B75+1,0),IF(AND($C$5="Non Urban Scale",$C$4="Registrar"),HLOOKUP($C$47,RDASly!$B$38:$I$48,$B75+1,0),"Error")))))</f>
        <v>Error</v>
      </c>
      <c r="D75" s="63" t="str">
        <f>IF(AND($C$4="House Officer",$B75&gt;4),"",IF(AND($C$5="Urban Scale",$C$4="House Officer"),HLOOKUP($C$45,SToNZSly!$B$6:$I$10,$B75+1,0),IF(AND($C$5="Non Urban Scale",$C$4="House Officer"),HLOOKUP($C$45,SToNZSly!$B$14:$I$18,$B75+1,0),IF(AND($C$5="Urban Scale",$C$4="Registrar"),HLOOKUP($C$45,SToNZSly!$B$23:$I$33,$B75+1,0),IF(AND($C$5="Non Urban Scale",$C$4="Registrar"),HLOOKUP($C$45,SToNZSly!$B$38:$I$48,$B75+1,0),"Error")))))</f>
        <v>Error</v>
      </c>
      <c r="E75" s="63" t="e">
        <f t="shared" si="9"/>
        <v>#VALUE!</v>
      </c>
      <c r="F75" s="137" t="str">
        <f t="shared" si="12"/>
        <v/>
      </c>
      <c r="G75" s="22"/>
      <c r="H75" s="70"/>
      <c r="I75" s="136" t="str">
        <f>IF(AND($C$4="House Officer",$B75&gt;4),"",IF(AND($C$5="Urban Scale",$C$4="House Officer"),HLOOKUP($C$23,SToNZSly!$B$6:$I$10,$B75+1,0),IF(AND($C$5="Non Urban Scale",$C$4="House Officer"),HLOOKUP($C$23,SToNZSly!$B$14:$I$18,$B75+1,0),IF(AND($C$5="Urban Scale",$C$4="Registrar"),HLOOKUP($C$23,SToNZSly!$B$23:$I$33,$B75+1,0),IF(AND($C$5="Non Urban Scale",$C$4="Registrar"),HLOOKUP($C$23,SToNZSly!$B$38:$I$48,$B75+1,0),"Error")))))</f>
        <v>Error</v>
      </c>
      <c r="J75" s="63" t="e">
        <f t="shared" si="10"/>
        <v>#VALUE!</v>
      </c>
      <c r="K75" s="137" t="str">
        <f t="shared" si="13"/>
        <v/>
      </c>
    </row>
    <row r="76" spans="1:17" x14ac:dyDescent="0.25">
      <c r="A76" s="164" t="str">
        <f t="shared" si="11"/>
        <v/>
      </c>
      <c r="B76" s="137" t="str">
        <f t="shared" si="14"/>
        <v/>
      </c>
      <c r="C76" s="136" t="str">
        <f>IF(AND($C$4="House Officer",$B76&gt;4),"",IF(AND($C$5="Urban Scale",$C$4="House Officer"),HLOOKUP($C$47,RDASly!$B$6:$I$10,$B76+1,0),IF(AND($C$5="Non Urban Scale",$C$4="House Officer"),HLOOKUP($C$47,RDASly!$B$14:$I$18,$B76+1,0),IF(AND($C$5="Urban Scale",$C$4="Registrar"),HLOOKUP($C$47,RDASly!$B$23:$I$33,$B76+1,0),IF(AND($C$5="Non Urban Scale",$C$4="Registrar"),HLOOKUP($C$47,RDASly!$B$38:$I$48,$B76+1,0),"Error")))))</f>
        <v>Error</v>
      </c>
      <c r="D76" s="63" t="str">
        <f>IF(AND($C$4="House Officer",$B76&gt;4),"",IF(AND($C$5="Urban Scale",$C$4="House Officer"),HLOOKUP($C$45,SToNZSly!$B$6:$I$10,$B76+1,0),IF(AND($C$5="Non Urban Scale",$C$4="House Officer"),HLOOKUP($C$45,SToNZSly!$B$14:$I$18,$B76+1,0),IF(AND($C$5="Urban Scale",$C$4="Registrar"),HLOOKUP($C$45,SToNZSly!$B$23:$I$33,$B76+1,0),IF(AND($C$5="Non Urban Scale",$C$4="Registrar"),HLOOKUP($C$45,SToNZSly!$B$38:$I$48,$B76+1,0),"Error")))))</f>
        <v>Error</v>
      </c>
      <c r="E76" s="63" t="e">
        <f t="shared" si="9"/>
        <v>#VALUE!</v>
      </c>
      <c r="F76" s="137" t="str">
        <f t="shared" si="12"/>
        <v/>
      </c>
      <c r="G76" s="22"/>
      <c r="H76" s="22"/>
      <c r="I76" s="136" t="str">
        <f>IF(AND($C$4="House Officer",$B76&gt;4),"",IF(AND($C$5="Urban Scale",$C$4="House Officer"),HLOOKUP($C$23,SToNZSly!$B$6:$I$10,$B76+1,0),IF(AND($C$5="Non Urban Scale",$C$4="House Officer"),HLOOKUP($C$23,SToNZSly!$B$14:$I$18,$B76+1,0),IF(AND($C$5="Urban Scale",$C$4="Registrar"),HLOOKUP($C$23,SToNZSly!$B$23:$I$33,$B76+1,0),IF(AND($C$5="Non Urban Scale",$C$4="Registrar"),HLOOKUP($C$23,SToNZSly!$B$38:$I$48,$B76+1,0),"Error")))))</f>
        <v>Error</v>
      </c>
      <c r="J76" s="63" t="e">
        <f t="shared" si="10"/>
        <v>#VALUE!</v>
      </c>
      <c r="K76" s="137" t="str">
        <f t="shared" si="13"/>
        <v/>
      </c>
    </row>
    <row r="77" spans="1:17" ht="15.75" thickBot="1" x14ac:dyDescent="0.3">
      <c r="A77" s="209" t="str">
        <f t="shared" si="11"/>
        <v/>
      </c>
      <c r="B77" s="139" t="str">
        <f t="shared" si="14"/>
        <v/>
      </c>
      <c r="C77" s="138" t="str">
        <f>IF(AND($C$4="House Officer",$B77&gt;4),"",IF(AND($C$5="Urban Scale",$C$4="House Officer"),HLOOKUP($C$47,RDASly!$B$6:$I$10,$B77+1,0),IF(AND($C$5="Non Urban Scale",$C$4="House Officer"),HLOOKUP($C$47,RDASly!$B$14:$I$18,$B77+1,0),IF(AND($C$5="Urban Scale",$C$4="Registrar"),HLOOKUP($C$47,RDASly!$B$23:$I$33,$B77+1,0),IF(AND($C$5="Non Urban Scale",$C$4="Registrar"),HLOOKUP($C$47,RDASly!$B$38:$I$48,$B77+1,0),"Error")))))</f>
        <v>Error</v>
      </c>
      <c r="D77" s="64" t="str">
        <f>IF(AND($C$4="House Officer",$B77&gt;4),"",IF(AND($C$5="Urban Scale",$C$4="House Officer"),HLOOKUP($C$45,SToNZSly!$B$6:$I$10,$B77+1,0),IF(AND($C$5="Non Urban Scale",$C$4="House Officer"),HLOOKUP($C$45,SToNZSly!$B$14:$I$18,$B77+1,0),IF(AND($C$5="Urban Scale",$C$4="Registrar"),HLOOKUP($C$45,SToNZSly!$B$23:$I$33,$B77+1,0),IF(AND($C$5="Non Urban Scale",$C$4="Registrar"),HLOOKUP($C$45,SToNZSly!$B$38:$I$48,$B77+1,0),"Error")))))</f>
        <v>Error</v>
      </c>
      <c r="E77" s="64" t="e">
        <f t="shared" si="9"/>
        <v>#VALUE!</v>
      </c>
      <c r="F77" s="139" t="str">
        <f t="shared" si="12"/>
        <v/>
      </c>
      <c r="G77" s="40"/>
      <c r="H77" s="40"/>
      <c r="I77" s="138" t="str">
        <f>IF(AND($C$4="House Officer",$B77&gt;4),"",IF(AND($C$5="Urban Scale",$C$4="House Officer"),HLOOKUP($C$23,SToNZSly!$B$6:$I$10,$B77+1,0),IF(AND($C$5="Non Urban Scale",$C$4="House Officer"),HLOOKUP($C$23,SToNZSly!$B$14:$I$18,$B77+1,0),IF(AND($C$5="Urban Scale",$C$4="Registrar"),HLOOKUP($C$23,SToNZSly!$B$23:$I$33,$B77+1,0),IF(AND($C$5="Non Urban Scale",$C$4="Registrar"),HLOOKUP($C$23,SToNZSly!$B$38:$I$48,$B77+1,0),"Error")))))</f>
        <v>Error</v>
      </c>
      <c r="J77" s="64" t="e">
        <f t="shared" si="10"/>
        <v>#VALUE!</v>
      </c>
      <c r="K77" s="139" t="str">
        <f t="shared" si="13"/>
        <v/>
      </c>
    </row>
    <row r="78" spans="1:17" x14ac:dyDescent="0.25">
      <c r="A78" s="22"/>
      <c r="B78" s="38"/>
      <c r="C78" s="22"/>
      <c r="D78" s="22"/>
      <c r="E78" s="22"/>
      <c r="F78" s="22"/>
      <c r="G78" s="22"/>
      <c r="H78" s="22"/>
      <c r="I78" s="22"/>
      <c r="J78" s="38" t="str">
        <f t="shared" ref="J78" si="15">IF(ISNUMBER(I78),IF(I78&gt;=0,"Increase","Decrease"),"")</f>
        <v/>
      </c>
      <c r="K78" s="22"/>
    </row>
    <row r="79" spans="1:17" x14ac:dyDescent="0.25">
      <c r="B79" s="26"/>
    </row>
    <row r="80" spans="1:17" x14ac:dyDescent="0.25">
      <c r="B80" s="26"/>
    </row>
    <row r="81" spans="2:2" x14ac:dyDescent="0.25">
      <c r="B81" s="26"/>
    </row>
    <row r="82" spans="2:2" x14ac:dyDescent="0.25">
      <c r="B82" s="26"/>
    </row>
    <row r="83" spans="2:2" x14ac:dyDescent="0.25">
      <c r="B83" s="26"/>
    </row>
  </sheetData>
  <sheetProtection algorithmName="SHA-512" hashValue="v92BT+6UmbXFzRGrLoSoZ34N3C1wAjfBTayJ/gG+KZCBTXfdROBCGPKb/llkn2mrhtqHCgH3BBXftMYAYQTKjw==" saltValue="54LQl5610veVApC0CpxHHw==" spinCount="100000" sheet="1" selectLockedCells="1"/>
  <mergeCells count="10">
    <mergeCell ref="A25:A47"/>
    <mergeCell ref="A1:K1"/>
    <mergeCell ref="A15:A23"/>
    <mergeCell ref="B15:C15"/>
    <mergeCell ref="B16:C16"/>
    <mergeCell ref="C25:G25"/>
    <mergeCell ref="C26:G26"/>
    <mergeCell ref="F28:G28"/>
    <mergeCell ref="F31:G31"/>
    <mergeCell ref="E47:I47"/>
  </mergeCells>
  <conditionalFormatting sqref="E68:E77">
    <cfRule type="cellIs" dxfId="11" priority="6" operator="lessThan">
      <formula>0</formula>
    </cfRule>
    <cfRule type="cellIs" dxfId="10" priority="8" operator="lessThan">
      <formula>0</formula>
    </cfRule>
  </conditionalFormatting>
  <conditionalFormatting sqref="E53:E62">
    <cfRule type="cellIs" dxfId="9" priority="7" operator="lessThan">
      <formula>0</formula>
    </cfRule>
  </conditionalFormatting>
  <conditionalFormatting sqref="G57:G62 F53:F62 F68:F77">
    <cfRule type="containsText" dxfId="8" priority="5" operator="containsText" text="Decrease">
      <formula>NOT(ISERROR(SEARCH("Decrease",F53)))</formula>
    </cfRule>
  </conditionalFormatting>
  <conditionalFormatting sqref="J68:J77">
    <cfRule type="cellIs" dxfId="7" priority="2" operator="lessThan">
      <formula>0</formula>
    </cfRule>
    <cfRule type="cellIs" dxfId="6" priority="3" operator="lessThan">
      <formula>0</formula>
    </cfRule>
  </conditionalFormatting>
  <conditionalFormatting sqref="K68:K77">
    <cfRule type="containsText" dxfId="5" priority="1" operator="containsText" text="Decrease">
      <formula>NOT(ISERROR(SEARCH("Decrease",K68)))</formula>
    </cfRule>
  </conditionalFormatting>
  <dataValidations count="3">
    <dataValidation type="decimal" allowBlank="1" showInputMessage="1" showErrorMessage="1" errorTitle="Error" error="Must be a number less than 32 hours" sqref="C19" xr:uid="{00000000-0002-0000-0100-000000000000}">
      <formula1>0.1</formula1>
      <formula2>32</formula2>
    </dataValidation>
    <dataValidation type="decimal" allowBlank="1" showInputMessage="1" showErrorMessage="1" errorTitle="Error" error="Must be a number and no more than 32 hours" sqref="C18" xr:uid="{00000000-0002-0000-0100-000001000000}">
      <formula1>1</formula1>
      <formula2>32</formula2>
    </dataValidation>
    <dataValidation type="whole" allowBlank="1" showInputMessage="1" showErrorMessage="1" errorTitle="Error" error="This must be a whole number between 1 and 999" sqref="C12" xr:uid="{00000000-0002-0000-0100-000002000000}">
      <formula1>1</formula1>
      <formula2>999</formula2>
    </dataValidation>
  </dataValidations>
  <printOptions horizontalCentered="1"/>
  <pageMargins left="0.11811023622047245" right="0.11811023622047245" top="0.19685039370078741" bottom="0.19685039370078741" header="0.31496062992125984" footer="0.31496062992125984"/>
  <pageSetup paperSize="9" scale="74" fitToHeight="0" orientation="landscape" r:id="rId1"/>
  <headerFooter>
    <oddFooter>&amp;LNorthern Regional Alliance ©&amp;C&amp;F&amp;R&amp;9Version 5.0 Last Updated 20/04/2022</oddFooter>
  </headerFooter>
  <rowBreaks count="1" manualBreakCount="1">
    <brk id="48" max="8" man="1"/>
  </rowBreaks>
  <extLst>
    <ext xmlns:x14="http://schemas.microsoft.com/office/spreadsheetml/2009/9/main" uri="{CCE6A557-97BC-4b89-ADB6-D9C93CAAB3DF}">
      <x14:dataValidations xmlns:xm="http://schemas.microsoft.com/office/excel/2006/main" count="6">
        <x14:dataValidation type="list" showInputMessage="1" showErrorMessage="1" xr:uid="{00000000-0002-0000-0100-000003000000}">
          <x14:formula1>
            <xm:f>Reference!$N$2:$N$7</xm:f>
          </x14:formula1>
          <xm:sqref>C23 C45 C47:C48</xm:sqref>
        </x14:dataValidation>
        <x14:dataValidation type="list" showInputMessage="1" showErrorMessage="1" error="Please select from drop down list" xr:uid="{00000000-0002-0000-0100-000004000000}">
          <x14:formula1>
            <xm:f>Reference!$B$2:$B$3</xm:f>
          </x14:formula1>
          <xm:sqref>C5</xm:sqref>
        </x14:dataValidation>
        <x14:dataValidation type="list" showInputMessage="1" showErrorMessage="1" xr:uid="{00000000-0002-0000-0100-000005000000}">
          <x14:formula1>
            <xm:f>Reference!$F$2:$F$46</xm:f>
          </x14:formula1>
          <xm:sqref>C10</xm:sqref>
        </x14:dataValidation>
        <x14:dataValidation type="list" showErrorMessage="1" error="Please Select_x000a_" prompt="_x000a_" xr:uid="{00000000-0002-0000-0100-000006000000}">
          <x14:formula1>
            <xm:f>Reference!$E$2:$E$5</xm:f>
          </x14:formula1>
          <xm:sqref>C9</xm:sqref>
        </x14:dataValidation>
        <x14:dataValidation type="list" showInputMessage="1" showErrorMessage="1" error="Please Select_x000a_" promptTitle="DHB" xr:uid="{00000000-0002-0000-0100-000007000000}">
          <x14:formula1>
            <xm:f>Reference!$C$2:$C$21</xm:f>
          </x14:formula1>
          <xm:sqref>C3</xm:sqref>
        </x14:dataValidation>
        <x14:dataValidation type="list" showInputMessage="1" showErrorMessage="1" error="Please select from drop down list" xr:uid="{00000000-0002-0000-0100-000008000000}">
          <x14:formula1>
            <xm:f>Reference!$A$2:$A$3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7"/>
  <sheetViews>
    <sheetView view="pageBreakPreview" zoomScale="80" zoomScaleNormal="85" zoomScaleSheetLayoutView="80" workbookViewId="0">
      <selection activeCell="C4" sqref="C4"/>
    </sheetView>
  </sheetViews>
  <sheetFormatPr defaultColWidth="8.85546875" defaultRowHeight="15" x14ac:dyDescent="0.25"/>
  <cols>
    <col min="1" max="1" width="22.85546875" style="23" customWidth="1"/>
    <col min="2" max="2" width="47.7109375" style="23" bestFit="1" customWidth="1"/>
    <col min="3" max="3" width="26.42578125" style="23" bestFit="1" customWidth="1"/>
    <col min="4" max="4" width="21" style="23" customWidth="1"/>
    <col min="5" max="5" width="20.7109375" style="23" customWidth="1"/>
    <col min="6" max="6" width="21.85546875" style="23" customWidth="1"/>
    <col min="7" max="7" width="2.42578125" style="23" customWidth="1"/>
    <col min="8" max="8" width="20.7109375" style="23" hidden="1" customWidth="1"/>
    <col min="9" max="9" width="20.7109375" style="23" customWidth="1"/>
    <col min="10" max="10" width="18.140625" style="23" customWidth="1"/>
    <col min="11" max="11" width="12.28515625" style="23" customWidth="1"/>
    <col min="12" max="12" width="3.5703125" style="23" customWidth="1"/>
    <col min="13" max="13" width="47.7109375" style="23" customWidth="1"/>
    <col min="14" max="15" width="32" style="23" bestFit="1" customWidth="1"/>
    <col min="16" max="17" width="8.85546875" style="23"/>
    <col min="18" max="18" width="0" style="23" hidden="1" customWidth="1"/>
    <col min="19" max="16384" width="8.85546875" style="23"/>
  </cols>
  <sheetData>
    <row r="1" spans="1:18" ht="24" thickBot="1" x14ac:dyDescent="0.4">
      <c r="A1" s="181" t="s">
        <v>167</v>
      </c>
      <c r="B1" s="182"/>
      <c r="C1" s="182"/>
      <c r="D1" s="182"/>
      <c r="E1" s="183"/>
      <c r="F1" s="183"/>
      <c r="G1" s="183"/>
      <c r="H1" s="183"/>
      <c r="I1" s="183"/>
      <c r="J1" s="183"/>
      <c r="K1" s="183"/>
      <c r="L1" s="183"/>
    </row>
    <row r="2" spans="1:18" ht="21.75" customHeight="1" x14ac:dyDescent="0.25">
      <c r="A2" s="24"/>
      <c r="B2" s="25" t="s">
        <v>20</v>
      </c>
      <c r="C2" s="22"/>
      <c r="D2" s="22"/>
      <c r="E2" s="22"/>
      <c r="F2" s="22"/>
      <c r="G2" s="22"/>
      <c r="H2" s="22"/>
      <c r="I2" s="22"/>
      <c r="J2" s="22"/>
      <c r="K2" s="22"/>
      <c r="L2" s="22"/>
      <c r="R2" s="26">
        <v>40</v>
      </c>
    </row>
    <row r="3" spans="1:18" x14ac:dyDescent="0.25">
      <c r="A3" s="24"/>
      <c r="B3" s="22" t="s">
        <v>21</v>
      </c>
      <c r="C3" s="71"/>
      <c r="D3" s="27" t="s">
        <v>22</v>
      </c>
      <c r="E3" s="22"/>
      <c r="F3" s="22"/>
      <c r="G3" s="22"/>
      <c r="H3" s="22"/>
      <c r="I3" s="22"/>
      <c r="J3" s="22"/>
      <c r="K3" s="22"/>
      <c r="L3" s="22"/>
      <c r="R3" s="26">
        <v>45</v>
      </c>
    </row>
    <row r="4" spans="1:18" x14ac:dyDescent="0.25">
      <c r="A4" s="24"/>
      <c r="B4" s="72" t="s">
        <v>23</v>
      </c>
      <c r="C4" s="73"/>
      <c r="D4" s="27" t="s">
        <v>22</v>
      </c>
      <c r="E4" s="22"/>
      <c r="F4" s="22"/>
      <c r="G4" s="22"/>
      <c r="H4" s="22"/>
      <c r="I4" s="22"/>
      <c r="J4" s="22"/>
      <c r="K4" s="22"/>
      <c r="L4" s="22"/>
      <c r="R4" s="26">
        <v>50</v>
      </c>
    </row>
    <row r="5" spans="1:18" x14ac:dyDescent="0.25">
      <c r="A5" s="24"/>
      <c r="B5" s="72" t="s">
        <v>24</v>
      </c>
      <c r="C5" s="73"/>
      <c r="D5" s="27" t="s">
        <v>22</v>
      </c>
      <c r="E5" s="28"/>
      <c r="F5" s="29"/>
      <c r="G5" s="29"/>
      <c r="H5" s="29"/>
      <c r="I5" s="29"/>
      <c r="J5" s="29"/>
      <c r="K5" s="22"/>
      <c r="L5" s="22"/>
      <c r="R5" s="26">
        <v>55</v>
      </c>
    </row>
    <row r="6" spans="1:18" x14ac:dyDescent="0.25">
      <c r="A6" s="24"/>
      <c r="B6" s="72" t="s">
        <v>25</v>
      </c>
      <c r="C6" s="71"/>
      <c r="D6" s="30" t="s">
        <v>26</v>
      </c>
      <c r="E6" s="28"/>
      <c r="F6" s="29"/>
      <c r="G6" s="29"/>
      <c r="H6" s="29"/>
      <c r="I6" s="29"/>
      <c r="J6" s="29"/>
      <c r="K6" s="22"/>
      <c r="L6" s="22"/>
      <c r="R6" s="26">
        <v>60</v>
      </c>
    </row>
    <row r="7" spans="1:18" x14ac:dyDescent="0.25">
      <c r="A7" s="24"/>
      <c r="B7" s="22"/>
      <c r="C7" s="28"/>
      <c r="D7" s="22"/>
      <c r="E7" s="22"/>
      <c r="F7" s="31"/>
      <c r="G7" s="31"/>
      <c r="H7" s="22"/>
      <c r="I7" s="22"/>
      <c r="J7" s="22"/>
      <c r="K7" s="22"/>
      <c r="L7" s="22"/>
      <c r="R7" s="26">
        <v>65</v>
      </c>
    </row>
    <row r="8" spans="1:18" x14ac:dyDescent="0.25">
      <c r="A8" s="24"/>
      <c r="B8" s="102" t="s">
        <v>64</v>
      </c>
      <c r="C8" s="102"/>
      <c r="D8" s="102"/>
      <c r="E8" s="102"/>
      <c r="F8" s="102"/>
      <c r="G8" s="102"/>
      <c r="H8" s="102"/>
      <c r="I8" s="102"/>
      <c r="J8" s="102"/>
      <c r="K8" s="102"/>
      <c r="L8" s="102"/>
    </row>
    <row r="9" spans="1:18" x14ac:dyDescent="0.25">
      <c r="A9" s="24"/>
      <c r="B9" s="72" t="s">
        <v>28</v>
      </c>
      <c r="C9" s="71"/>
      <c r="D9" s="27" t="s">
        <v>22</v>
      </c>
      <c r="E9" s="22"/>
      <c r="F9" s="22"/>
      <c r="G9" s="22"/>
      <c r="H9" s="22"/>
      <c r="I9" s="22"/>
      <c r="J9" s="22"/>
      <c r="K9" s="22"/>
      <c r="L9" s="22"/>
    </row>
    <row r="10" spans="1:18" x14ac:dyDescent="0.25">
      <c r="A10" s="24"/>
      <c r="B10" s="72" t="s">
        <v>29</v>
      </c>
      <c r="C10" s="71"/>
      <c r="D10" s="27" t="s">
        <v>22</v>
      </c>
      <c r="E10" s="22"/>
      <c r="F10" s="22"/>
      <c r="G10" s="22"/>
      <c r="H10" s="22"/>
      <c r="I10" s="22"/>
      <c r="J10" s="22"/>
      <c r="K10" s="22"/>
      <c r="L10" s="22"/>
    </row>
    <row r="11" spans="1:18" x14ac:dyDescent="0.25">
      <c r="A11" s="24"/>
      <c r="B11" s="72" t="s">
        <v>30</v>
      </c>
      <c r="C11" s="70">
        <v>8</v>
      </c>
      <c r="D11" s="33"/>
      <c r="E11" s="22"/>
      <c r="F11" s="22"/>
      <c r="G11" s="22"/>
      <c r="H11" s="22"/>
      <c r="I11" s="28"/>
      <c r="J11" s="22"/>
      <c r="K11" s="22"/>
      <c r="L11" s="22"/>
    </row>
    <row r="12" spans="1:18" x14ac:dyDescent="0.25">
      <c r="A12" s="24"/>
      <c r="B12" s="72" t="s">
        <v>31</v>
      </c>
      <c r="C12" s="71"/>
      <c r="D12" s="27" t="s">
        <v>32</v>
      </c>
      <c r="E12" s="22"/>
      <c r="F12" s="22"/>
      <c r="G12" s="22"/>
      <c r="H12" s="22"/>
      <c r="I12" s="22"/>
      <c r="J12" s="22"/>
      <c r="K12" s="22"/>
      <c r="L12" s="22"/>
    </row>
    <row r="13" spans="1:18" x14ac:dyDescent="0.25">
      <c r="A13" s="24"/>
      <c r="B13" s="72" t="s">
        <v>33</v>
      </c>
      <c r="C13" s="38">
        <v>52.14</v>
      </c>
      <c r="D13" s="22"/>
      <c r="E13" s="22"/>
      <c r="F13" s="22"/>
      <c r="G13" s="22"/>
      <c r="H13" s="22"/>
      <c r="I13" s="22"/>
      <c r="J13" s="22"/>
      <c r="K13" s="22"/>
      <c r="L13" s="22"/>
    </row>
    <row r="14" spans="1:18" x14ac:dyDescent="0.25">
      <c r="A14" s="24"/>
      <c r="B14" s="102" t="s">
        <v>65</v>
      </c>
      <c r="C14" s="102"/>
      <c r="D14" s="102"/>
      <c r="E14" s="102"/>
      <c r="F14" s="102"/>
      <c r="G14" s="102"/>
      <c r="H14" s="102"/>
      <c r="I14" s="102"/>
      <c r="J14" s="102"/>
      <c r="K14" s="102"/>
      <c r="L14" s="102"/>
    </row>
    <row r="15" spans="1:18" x14ac:dyDescent="0.25">
      <c r="A15" s="24"/>
      <c r="B15" s="72" t="s">
        <v>28</v>
      </c>
      <c r="C15" s="71"/>
      <c r="D15" s="27" t="s">
        <v>22</v>
      </c>
      <c r="E15" s="22"/>
      <c r="F15" s="22"/>
      <c r="G15" s="22"/>
      <c r="H15" s="22"/>
      <c r="I15" s="22"/>
      <c r="J15" s="22"/>
      <c r="K15" s="22"/>
      <c r="L15" s="22"/>
    </row>
    <row r="16" spans="1:18" x14ac:dyDescent="0.25">
      <c r="A16" s="24"/>
      <c r="B16" s="72" t="s">
        <v>29</v>
      </c>
      <c r="C16" s="71"/>
      <c r="D16" s="27" t="s">
        <v>22</v>
      </c>
      <c r="E16" s="22"/>
      <c r="F16" s="22"/>
      <c r="G16" s="22"/>
      <c r="H16" s="22"/>
      <c r="I16" s="22"/>
      <c r="J16" s="22"/>
      <c r="K16" s="22"/>
      <c r="L16" s="22"/>
    </row>
    <row r="17" spans="1:12" x14ac:dyDescent="0.25">
      <c r="A17" s="24"/>
      <c r="B17" s="72" t="s">
        <v>30</v>
      </c>
      <c r="C17" s="70">
        <v>8</v>
      </c>
      <c r="D17" s="33"/>
      <c r="E17" s="22"/>
      <c r="F17" s="22"/>
      <c r="G17" s="22"/>
      <c r="H17" s="22"/>
      <c r="I17" s="28"/>
      <c r="J17" s="22"/>
      <c r="K17" s="22"/>
      <c r="L17" s="22"/>
    </row>
    <row r="18" spans="1:12" x14ac:dyDescent="0.25">
      <c r="A18" s="24"/>
      <c r="B18" s="72" t="s">
        <v>31</v>
      </c>
      <c r="C18" s="71"/>
      <c r="D18" s="27" t="s">
        <v>32</v>
      </c>
      <c r="E18" s="22"/>
      <c r="F18" s="22"/>
      <c r="G18" s="22"/>
      <c r="H18" s="22"/>
      <c r="I18" s="22"/>
      <c r="J18" s="22"/>
      <c r="K18" s="22"/>
      <c r="L18" s="22"/>
    </row>
    <row r="19" spans="1:12" x14ac:dyDescent="0.25">
      <c r="A19" s="24"/>
      <c r="B19" s="72" t="s">
        <v>33</v>
      </c>
      <c r="C19" s="38">
        <v>52.14</v>
      </c>
      <c r="D19" s="22"/>
      <c r="E19" s="22"/>
      <c r="F19" s="22"/>
      <c r="G19" s="22"/>
      <c r="H19" s="22"/>
      <c r="I19" s="22"/>
      <c r="J19" s="22"/>
      <c r="K19" s="22"/>
      <c r="L19" s="22"/>
    </row>
    <row r="20" spans="1:12" s="37" customFormat="1" ht="13.5" customHeight="1" x14ac:dyDescent="0.25">
      <c r="A20" s="34"/>
      <c r="B20" s="35"/>
      <c r="C20" s="35"/>
      <c r="D20" s="35"/>
      <c r="E20" s="35"/>
      <c r="F20" s="35"/>
      <c r="G20" s="35"/>
      <c r="H20" s="35"/>
      <c r="I20" s="35"/>
      <c r="J20" s="35"/>
      <c r="K20" s="35"/>
      <c r="L20" s="35"/>
    </row>
    <row r="21" spans="1:12" ht="15" customHeight="1" x14ac:dyDescent="0.25">
      <c r="A21" s="185" t="s">
        <v>34</v>
      </c>
      <c r="B21" s="191" t="s">
        <v>35</v>
      </c>
      <c r="C21" s="191"/>
      <c r="D21" s="74"/>
      <c r="E21" s="22"/>
      <c r="F21" s="22"/>
      <c r="G21" s="22"/>
      <c r="H21" s="22"/>
      <c r="I21" s="22"/>
      <c r="J21" s="22"/>
      <c r="K21" s="22"/>
      <c r="L21" s="22"/>
    </row>
    <row r="22" spans="1:12" x14ac:dyDescent="0.25">
      <c r="A22" s="185"/>
      <c r="B22" s="187" t="s">
        <v>152</v>
      </c>
      <c r="C22" s="187"/>
      <c r="D22" s="22"/>
      <c r="E22" s="22"/>
      <c r="F22" s="22"/>
      <c r="G22" s="22"/>
      <c r="H22" s="22"/>
      <c r="I22" s="22"/>
      <c r="J22" s="22"/>
      <c r="K22" s="22"/>
      <c r="L22" s="22"/>
    </row>
    <row r="23" spans="1:12" x14ac:dyDescent="0.25">
      <c r="A23" s="185"/>
      <c r="B23" s="22" t="s">
        <v>36</v>
      </c>
      <c r="C23" s="38">
        <v>40</v>
      </c>
      <c r="D23" s="22"/>
      <c r="E23" s="22"/>
      <c r="F23" s="22"/>
      <c r="G23" s="22"/>
      <c r="H23" s="22"/>
      <c r="I23" s="22"/>
      <c r="J23" s="22"/>
      <c r="K23" s="22"/>
      <c r="L23" s="22"/>
    </row>
    <row r="24" spans="1:12" x14ac:dyDescent="0.25">
      <c r="A24" s="185"/>
      <c r="B24" s="22" t="s">
        <v>37</v>
      </c>
      <c r="C24" s="71"/>
      <c r="D24" s="27" t="s">
        <v>38</v>
      </c>
      <c r="E24" s="27"/>
      <c r="F24" s="22"/>
      <c r="G24" s="22"/>
      <c r="H24" s="22"/>
      <c r="I24" s="22"/>
      <c r="J24" s="22"/>
      <c r="K24" s="22"/>
      <c r="L24" s="22"/>
    </row>
    <row r="25" spans="1:12" x14ac:dyDescent="0.25">
      <c r="A25" s="185"/>
      <c r="B25" s="22" t="s">
        <v>39</v>
      </c>
      <c r="C25" s="71"/>
      <c r="D25" s="27" t="s">
        <v>38</v>
      </c>
      <c r="E25" s="27"/>
      <c r="F25" s="22"/>
      <c r="G25" s="22"/>
      <c r="H25" s="22"/>
      <c r="I25" s="22"/>
      <c r="J25" s="22"/>
      <c r="K25" s="22"/>
      <c r="L25" s="22"/>
    </row>
    <row r="26" spans="1:12" x14ac:dyDescent="0.25">
      <c r="A26" s="185"/>
      <c r="B26" s="22" t="s">
        <v>40</v>
      </c>
      <c r="C26" s="38">
        <f>SUM(C23:C25)</f>
        <v>40</v>
      </c>
      <c r="D26" s="22"/>
      <c r="E26" s="22"/>
      <c r="F26" s="22"/>
      <c r="G26" s="22"/>
      <c r="H26" s="22"/>
      <c r="I26" s="22"/>
      <c r="J26" s="22"/>
      <c r="K26" s="22"/>
      <c r="L26" s="22"/>
    </row>
    <row r="27" spans="1:12" x14ac:dyDescent="0.25">
      <c r="A27" s="185"/>
      <c r="B27" s="22"/>
      <c r="C27" s="22"/>
      <c r="D27" s="22"/>
      <c r="E27" s="22"/>
      <c r="F27" s="22"/>
      <c r="G27" s="22"/>
      <c r="H27" s="22"/>
      <c r="I27" s="22"/>
      <c r="J27" s="22"/>
      <c r="K27" s="22"/>
      <c r="L27" s="22"/>
    </row>
    <row r="28" spans="1:12" x14ac:dyDescent="0.25">
      <c r="A28" s="185"/>
      <c r="B28" s="32" t="s">
        <v>41</v>
      </c>
      <c r="C28" s="161" t="str">
        <f>IF(C26&gt;='Shared Roster'!R7,"A",IF('Shared Roster'!C26&gt;='Shared Roster'!R6,"B",IF('Shared Roster'!C26&gt;='Shared Roster'!R5,"C",IF('Shared Roster'!C26&gt;='Shared Roster'!R4,"D",IF('Shared Roster'!C26&gt;='Shared Roster'!R3,"E",IF('Shared Roster'!C26&gt;='Shared Roster'!R2,"F"))))))</f>
        <v>F</v>
      </c>
      <c r="D28" s="162" t="s">
        <v>160</v>
      </c>
      <c r="E28" s="22"/>
      <c r="F28" s="22"/>
      <c r="G28" s="22"/>
      <c r="H28" s="22"/>
      <c r="I28" s="22"/>
      <c r="J28" s="22"/>
      <c r="K28" s="22"/>
      <c r="L28" s="22"/>
    </row>
    <row r="29" spans="1:12" x14ac:dyDescent="0.25">
      <c r="A29" s="185"/>
      <c r="B29" s="127" t="s">
        <v>162</v>
      </c>
      <c r="C29" s="163"/>
      <c r="D29" s="27" t="s">
        <v>22</v>
      </c>
      <c r="E29" s="22"/>
      <c r="F29" s="22"/>
      <c r="G29" s="22"/>
      <c r="H29" s="22"/>
      <c r="I29" s="22"/>
      <c r="J29" s="22"/>
      <c r="K29" s="22"/>
      <c r="L29" s="22"/>
    </row>
    <row r="30" spans="1:12" x14ac:dyDescent="0.25">
      <c r="A30" s="185"/>
      <c r="B30" s="22"/>
      <c r="C30" s="22"/>
      <c r="D30" s="22"/>
      <c r="E30" s="22"/>
      <c r="F30" s="22"/>
      <c r="G30" s="22"/>
      <c r="H30" s="22"/>
      <c r="I30" s="22"/>
      <c r="J30" s="22"/>
      <c r="K30" s="22"/>
      <c r="L30" s="22"/>
    </row>
    <row r="31" spans="1:12" x14ac:dyDescent="0.25">
      <c r="A31" s="24"/>
      <c r="B31" s="22"/>
      <c r="C31" s="22"/>
      <c r="D31" s="22"/>
      <c r="E31" s="22"/>
      <c r="F31" s="22"/>
      <c r="G31" s="22"/>
      <c r="H31" s="22"/>
      <c r="I31" s="22"/>
      <c r="J31" s="22"/>
      <c r="K31" s="22"/>
      <c r="L31" s="22"/>
    </row>
    <row r="32" spans="1:12" x14ac:dyDescent="0.25">
      <c r="A32" s="179" t="s">
        <v>42</v>
      </c>
      <c r="B32" s="42"/>
      <c r="C32" s="188" t="s">
        <v>43</v>
      </c>
      <c r="D32" s="188"/>
      <c r="E32" s="188"/>
      <c r="F32" s="188"/>
      <c r="G32" s="188"/>
      <c r="H32" s="41"/>
      <c r="I32" s="22"/>
    </row>
    <row r="33" spans="1:12" x14ac:dyDescent="0.25">
      <c r="A33" s="179"/>
      <c r="B33" s="42"/>
      <c r="C33" s="189" t="s">
        <v>44</v>
      </c>
      <c r="D33" s="189"/>
      <c r="E33" s="189"/>
      <c r="F33" s="189"/>
      <c r="G33" s="189"/>
      <c r="H33" s="22"/>
      <c r="I33" s="22"/>
    </row>
    <row r="34" spans="1:12" x14ac:dyDescent="0.25">
      <c r="A34" s="179"/>
      <c r="B34" s="32" t="s">
        <v>64</v>
      </c>
      <c r="C34" s="22"/>
      <c r="D34" s="22"/>
      <c r="E34" s="22"/>
      <c r="F34" s="22"/>
      <c r="G34" s="22"/>
      <c r="H34" s="22"/>
      <c r="I34" s="22"/>
    </row>
    <row r="35" spans="1:12" x14ac:dyDescent="0.25">
      <c r="A35" s="179"/>
      <c r="B35" s="43" t="s">
        <v>47</v>
      </c>
      <c r="C35" s="90">
        <f>C12</f>
        <v>0</v>
      </c>
      <c r="D35" s="91" t="s">
        <v>48</v>
      </c>
      <c r="E35" s="92" t="e">
        <f>$C$35/$C$36</f>
        <v>#DIV/0!</v>
      </c>
      <c r="F35" s="192" t="s">
        <v>49</v>
      </c>
      <c r="G35" s="193"/>
      <c r="H35" s="22"/>
      <c r="I35" s="22"/>
    </row>
    <row r="36" spans="1:12" x14ac:dyDescent="0.25">
      <c r="A36" s="179"/>
      <c r="B36" s="43" t="s">
        <v>51</v>
      </c>
      <c r="C36" s="93">
        <f>C10</f>
        <v>0</v>
      </c>
      <c r="D36" s="47"/>
      <c r="E36" s="46"/>
      <c r="F36" s="43"/>
      <c r="G36" s="82"/>
      <c r="H36" s="22"/>
      <c r="I36" s="22"/>
    </row>
    <row r="37" spans="1:12" x14ac:dyDescent="0.25">
      <c r="A37" s="179"/>
      <c r="B37" s="48"/>
      <c r="C37" s="81"/>
      <c r="D37" s="43"/>
      <c r="E37" s="46"/>
      <c r="F37" s="43"/>
      <c r="G37" s="82"/>
      <c r="H37" s="22"/>
      <c r="I37" s="22"/>
    </row>
    <row r="38" spans="1:12" x14ac:dyDescent="0.25">
      <c r="A38" s="179"/>
      <c r="B38" s="43" t="s">
        <v>53</v>
      </c>
      <c r="C38" s="94" t="e">
        <f>$E$35*C11</f>
        <v>#DIV/0!</v>
      </c>
      <c r="D38" s="45" t="s">
        <v>48</v>
      </c>
      <c r="E38" s="49" t="e">
        <f>$C$38/$C$39</f>
        <v>#DIV/0!</v>
      </c>
      <c r="F38" s="190" t="s">
        <v>54</v>
      </c>
      <c r="G38" s="194"/>
      <c r="H38" s="79" t="e">
        <f>-E38</f>
        <v>#DIV/0!</v>
      </c>
      <c r="I38" s="50"/>
    </row>
    <row r="39" spans="1:12" x14ac:dyDescent="0.25">
      <c r="A39" s="179"/>
      <c r="B39" s="43" t="s">
        <v>28</v>
      </c>
      <c r="C39" s="95">
        <f>C9</f>
        <v>0</v>
      </c>
      <c r="D39" s="83"/>
      <c r="E39" s="84"/>
      <c r="F39" s="85"/>
      <c r="G39" s="86"/>
      <c r="H39" s="22"/>
      <c r="I39" s="22"/>
    </row>
    <row r="40" spans="1:12" x14ac:dyDescent="0.25">
      <c r="A40" s="179"/>
      <c r="B40" s="22"/>
      <c r="C40" s="22"/>
      <c r="D40" s="22"/>
      <c r="E40" s="38"/>
      <c r="F40" s="22"/>
      <c r="G40" s="22"/>
      <c r="H40" s="22"/>
      <c r="I40" s="22"/>
    </row>
    <row r="41" spans="1:12" x14ac:dyDescent="0.25">
      <c r="A41" s="180"/>
      <c r="B41" s="32" t="s">
        <v>65</v>
      </c>
      <c r="C41" s="22"/>
      <c r="D41" s="22"/>
      <c r="E41" s="38"/>
      <c r="F41" s="22"/>
      <c r="G41" s="22"/>
      <c r="H41" s="22"/>
      <c r="I41" s="22"/>
    </row>
    <row r="42" spans="1:12" x14ac:dyDescent="0.25">
      <c r="A42" s="180"/>
      <c r="B42" s="43" t="s">
        <v>47</v>
      </c>
      <c r="C42" s="96">
        <f>C18</f>
        <v>0</v>
      </c>
      <c r="D42" s="108" t="s">
        <v>48</v>
      </c>
      <c r="E42" s="97" t="e">
        <f>$C$42/$C$43</f>
        <v>#DIV/0!</v>
      </c>
      <c r="F42" s="195" t="s">
        <v>49</v>
      </c>
      <c r="G42" s="196"/>
      <c r="H42" s="22"/>
      <c r="I42" s="22"/>
    </row>
    <row r="43" spans="1:12" x14ac:dyDescent="0.25">
      <c r="A43" s="180"/>
      <c r="B43" s="43" t="s">
        <v>51</v>
      </c>
      <c r="C43" s="98">
        <f>C16</f>
        <v>0</v>
      </c>
      <c r="D43" s="38"/>
      <c r="E43" s="38"/>
      <c r="F43" s="22"/>
      <c r="G43" s="87"/>
      <c r="H43" s="22"/>
      <c r="I43" s="22"/>
      <c r="J43" s="107"/>
      <c r="K43" s="107"/>
      <c r="L43" s="107"/>
    </row>
    <row r="44" spans="1:12" x14ac:dyDescent="0.25">
      <c r="A44" s="180"/>
      <c r="B44" s="43"/>
      <c r="C44" s="98"/>
      <c r="D44" s="22"/>
      <c r="E44" s="38"/>
      <c r="F44" s="22"/>
      <c r="G44" s="87"/>
      <c r="H44" s="22"/>
      <c r="I44" s="22"/>
      <c r="J44" s="107"/>
      <c r="K44" s="107"/>
      <c r="L44" s="107"/>
    </row>
    <row r="45" spans="1:12" x14ac:dyDescent="0.25">
      <c r="A45" s="180"/>
      <c r="B45" s="43" t="s">
        <v>53</v>
      </c>
      <c r="C45" s="99" t="e">
        <f>$E$42*C17</f>
        <v>#DIV/0!</v>
      </c>
      <c r="D45" s="22" t="s">
        <v>48</v>
      </c>
      <c r="E45" s="80" t="e">
        <f>$C$45/$C$46</f>
        <v>#DIV/0!</v>
      </c>
      <c r="F45" s="197" t="s">
        <v>54</v>
      </c>
      <c r="G45" s="198"/>
      <c r="H45" s="79" t="e">
        <f>-E45</f>
        <v>#DIV/0!</v>
      </c>
      <c r="I45" s="22"/>
      <c r="J45" s="107"/>
      <c r="K45" s="107"/>
      <c r="L45" s="107"/>
    </row>
    <row r="46" spans="1:12" x14ac:dyDescent="0.25">
      <c r="A46" s="180"/>
      <c r="B46" s="43" t="s">
        <v>28</v>
      </c>
      <c r="C46" s="100">
        <f>C15</f>
        <v>0</v>
      </c>
      <c r="D46" s="88"/>
      <c r="E46" s="88"/>
      <c r="F46" s="88"/>
      <c r="G46" s="89"/>
      <c r="H46" s="22"/>
      <c r="I46" s="22"/>
      <c r="J46" s="107"/>
      <c r="K46" s="107"/>
      <c r="L46" s="107"/>
    </row>
    <row r="47" spans="1:12" x14ac:dyDescent="0.25">
      <c r="A47" s="180"/>
      <c r="B47" s="42"/>
      <c r="C47" s="22"/>
      <c r="D47" s="22"/>
      <c r="E47" s="22"/>
      <c r="F47" s="22"/>
      <c r="G47" s="22"/>
      <c r="H47" s="22"/>
      <c r="I47" s="22"/>
      <c r="J47" s="107"/>
      <c r="K47" s="107"/>
      <c r="L47" s="107"/>
    </row>
    <row r="48" spans="1:12" x14ac:dyDescent="0.25">
      <c r="A48" s="180"/>
      <c r="B48" s="22"/>
      <c r="C48" s="22"/>
      <c r="D48" s="22"/>
      <c r="E48" s="22"/>
      <c r="F48" s="22"/>
      <c r="G48" s="22"/>
      <c r="H48" s="22"/>
      <c r="I48" s="22"/>
      <c r="J48" s="22"/>
      <c r="K48" s="22"/>
      <c r="L48" s="22"/>
    </row>
    <row r="49" spans="1:19" ht="15" customHeight="1" x14ac:dyDescent="0.25">
      <c r="A49" s="180"/>
      <c r="B49" s="159" t="s">
        <v>159</v>
      </c>
      <c r="C49" s="116"/>
      <c r="D49" s="121"/>
      <c r="E49" s="22"/>
      <c r="F49" s="22"/>
      <c r="G49" s="22"/>
      <c r="H49" s="22"/>
      <c r="I49" s="22"/>
      <c r="J49" s="22"/>
      <c r="K49" s="22"/>
      <c r="L49" s="31"/>
    </row>
    <row r="50" spans="1:19" x14ac:dyDescent="0.25">
      <c r="A50" s="180"/>
      <c r="B50" s="117" t="s">
        <v>45</v>
      </c>
      <c r="C50" s="75">
        <v>40</v>
      </c>
      <c r="D50" s="121"/>
      <c r="E50" s="22"/>
      <c r="F50" s="22"/>
      <c r="G50" s="22"/>
      <c r="H50" s="22"/>
      <c r="I50" s="22"/>
      <c r="J50" s="22"/>
      <c r="K50" s="22"/>
      <c r="L50" s="31"/>
    </row>
    <row r="51" spans="1:19" x14ac:dyDescent="0.25">
      <c r="A51" s="180"/>
      <c r="B51" s="117" t="s">
        <v>46</v>
      </c>
      <c r="C51" s="75" t="e">
        <f>SUM(H38+H45)</f>
        <v>#DIV/0!</v>
      </c>
      <c r="D51" s="122"/>
      <c r="E51" s="22"/>
      <c r="F51" s="22"/>
      <c r="G51" s="22"/>
      <c r="H51" s="22"/>
      <c r="I51" s="22"/>
      <c r="J51" s="22"/>
      <c r="K51" s="22"/>
      <c r="L51" s="31"/>
    </row>
    <row r="52" spans="1:19" x14ac:dyDescent="0.25">
      <c r="A52" s="180"/>
      <c r="B52" s="119" t="s">
        <v>50</v>
      </c>
      <c r="C52" s="76" t="e">
        <f>SUM(C50:C51)</f>
        <v>#DIV/0!</v>
      </c>
      <c r="D52" s="123"/>
      <c r="E52" s="22"/>
      <c r="F52" s="22"/>
      <c r="G52" s="22"/>
      <c r="H52" s="22"/>
      <c r="I52" s="22"/>
      <c r="J52" s="22"/>
      <c r="K52" s="22"/>
      <c r="L52" s="31"/>
    </row>
    <row r="53" spans="1:19" x14ac:dyDescent="0.25">
      <c r="A53" s="180"/>
      <c r="B53" s="118"/>
      <c r="C53" s="118"/>
      <c r="D53" s="121"/>
      <c r="E53" s="22"/>
      <c r="F53" s="22"/>
      <c r="G53" s="22"/>
      <c r="H53" s="22"/>
      <c r="I53" s="22"/>
      <c r="J53" s="22"/>
      <c r="K53" s="22"/>
      <c r="L53" s="31"/>
    </row>
    <row r="54" spans="1:19" x14ac:dyDescent="0.25">
      <c r="A54" s="180"/>
      <c r="B54" s="117" t="s">
        <v>52</v>
      </c>
      <c r="C54" s="75">
        <f>C24</f>
        <v>0</v>
      </c>
      <c r="D54" s="121"/>
      <c r="E54" s="22"/>
      <c r="F54" s="22"/>
      <c r="G54" s="22"/>
      <c r="H54" s="22"/>
      <c r="I54" s="22"/>
      <c r="J54" s="22"/>
      <c r="K54" s="22"/>
      <c r="L54" s="31"/>
    </row>
    <row r="55" spans="1:19" x14ac:dyDescent="0.25">
      <c r="A55" s="180"/>
      <c r="B55" s="117" t="s">
        <v>55</v>
      </c>
      <c r="C55" s="75">
        <f>C25</f>
        <v>0</v>
      </c>
      <c r="D55" s="121"/>
      <c r="E55" s="22"/>
      <c r="F55" s="22"/>
      <c r="G55" s="22"/>
      <c r="H55" s="22"/>
      <c r="I55" s="22"/>
      <c r="J55" s="22"/>
      <c r="K55" s="22"/>
      <c r="L55" s="31"/>
    </row>
    <row r="56" spans="1:19" x14ac:dyDescent="0.25">
      <c r="A56" s="180"/>
      <c r="B56" s="117" t="s">
        <v>56</v>
      </c>
      <c r="C56" s="77" t="e">
        <f>SUM(C54:C55,C52)</f>
        <v>#DIV/0!</v>
      </c>
      <c r="D56" s="123"/>
      <c r="E56" s="22"/>
      <c r="F56" s="22"/>
      <c r="G56" s="22"/>
      <c r="H56" s="22"/>
      <c r="I56" s="22"/>
      <c r="J56" s="22"/>
      <c r="K56" s="22"/>
      <c r="L56" s="31"/>
    </row>
    <row r="57" spans="1:19" x14ac:dyDescent="0.25">
      <c r="A57" s="180"/>
      <c r="B57" s="117" t="s">
        <v>57</v>
      </c>
      <c r="C57" s="160" t="e">
        <f>IF(C56&gt;=R7,"A",IF(C56&gt;=R6,"B",IF(C56&gt;=R5,"C",IF(C56&gt;=R4,"D",IF(C56&gt;=R3,"E",IF(C56&gt;=R2,"F"))))))</f>
        <v>#DIV/0!</v>
      </c>
      <c r="D57" s="54" t="s">
        <v>161</v>
      </c>
      <c r="E57" s="22"/>
      <c r="F57" s="22"/>
      <c r="G57" s="22"/>
      <c r="H57" s="22"/>
      <c r="I57" s="22"/>
      <c r="J57" s="22"/>
      <c r="K57" s="22"/>
      <c r="L57" s="31"/>
    </row>
    <row r="58" spans="1:19" x14ac:dyDescent="0.25">
      <c r="A58" s="180"/>
      <c r="B58" s="107"/>
      <c r="C58" s="53"/>
      <c r="D58" s="124"/>
      <c r="E58" s="22"/>
      <c r="F58" s="22"/>
      <c r="G58" s="22"/>
      <c r="H58" s="22"/>
      <c r="I58" s="22"/>
      <c r="J58" s="22"/>
      <c r="K58" s="22"/>
      <c r="L58" s="31"/>
    </row>
    <row r="59" spans="1:19" ht="30" x14ac:dyDescent="0.25">
      <c r="A59" s="180"/>
      <c r="B59" s="32" t="s">
        <v>163</v>
      </c>
      <c r="C59" s="71"/>
      <c r="D59" s="125" t="s">
        <v>58</v>
      </c>
      <c r="E59" s="22"/>
      <c r="F59" s="22"/>
      <c r="G59" s="22"/>
      <c r="H59" s="22"/>
      <c r="I59" s="22"/>
      <c r="J59" s="22"/>
      <c r="K59" s="22"/>
      <c r="L59" s="31"/>
    </row>
    <row r="60" spans="1:19" ht="14.25" customHeight="1" thickBot="1" x14ac:dyDescent="0.3">
      <c r="A60" s="180"/>
      <c r="B60" s="32"/>
      <c r="C60" s="126"/>
      <c r="D60" s="125"/>
      <c r="E60" s="22"/>
      <c r="F60" s="22"/>
      <c r="G60" s="22"/>
      <c r="H60" s="22"/>
      <c r="I60" s="22"/>
      <c r="J60" s="22"/>
      <c r="K60" s="22"/>
      <c r="L60" s="31"/>
    </row>
    <row r="61" spans="1:19" ht="30" customHeight="1" thickBot="1" x14ac:dyDescent="0.3">
      <c r="A61" s="180"/>
      <c r="B61" s="32" t="s">
        <v>164</v>
      </c>
      <c r="C61" s="71"/>
      <c r="D61" s="125" t="s">
        <v>58</v>
      </c>
      <c r="E61" s="207" t="s">
        <v>158</v>
      </c>
      <c r="F61" s="205"/>
      <c r="G61" s="205"/>
      <c r="H61" s="205"/>
      <c r="I61" s="206"/>
      <c r="J61" s="22"/>
      <c r="K61" s="22"/>
      <c r="L61" s="31"/>
    </row>
    <row r="62" spans="1:19" x14ac:dyDescent="0.25">
      <c r="A62" s="24"/>
      <c r="B62" s="53"/>
      <c r="C62" s="47"/>
      <c r="D62" s="78"/>
      <c r="E62" s="22"/>
      <c r="F62" s="22"/>
      <c r="G62" s="22"/>
      <c r="H62" s="22"/>
      <c r="I62" s="22"/>
      <c r="J62" s="22"/>
      <c r="K62" s="22"/>
      <c r="L62" s="55"/>
      <c r="M62" s="56"/>
      <c r="N62" s="56"/>
      <c r="S62" s="52"/>
    </row>
    <row r="63" spans="1:19" ht="18.75" x14ac:dyDescent="0.3">
      <c r="A63" s="67" t="s">
        <v>19</v>
      </c>
      <c r="B63" s="53"/>
      <c r="C63" s="47"/>
      <c r="D63" s="78"/>
      <c r="E63" s="22"/>
      <c r="F63" s="22"/>
      <c r="G63" s="22"/>
      <c r="H63" s="22"/>
      <c r="I63" s="22"/>
      <c r="J63" s="22"/>
      <c r="K63" s="22"/>
      <c r="L63" s="55"/>
      <c r="M63" s="56"/>
      <c r="N63" s="56"/>
      <c r="S63" s="52"/>
    </row>
    <row r="64" spans="1:19" ht="15.75" thickBot="1" x14ac:dyDescent="0.3">
      <c r="A64" s="24"/>
      <c r="B64" s="22"/>
      <c r="C64" s="22"/>
      <c r="D64" s="22"/>
      <c r="E64" s="22"/>
      <c r="F64" s="22"/>
      <c r="G64" s="22"/>
      <c r="H64" s="22"/>
      <c r="I64" s="22"/>
      <c r="J64" s="22"/>
      <c r="K64" s="22"/>
      <c r="L64" s="55"/>
      <c r="M64" s="56"/>
      <c r="N64" s="56"/>
      <c r="S64" s="52"/>
    </row>
    <row r="65" spans="1:18" s="59" customFormat="1" ht="42.75" customHeight="1" x14ac:dyDescent="0.25">
      <c r="A65" s="144" t="s">
        <v>59</v>
      </c>
      <c r="B65" s="142" t="s">
        <v>60</v>
      </c>
      <c r="C65" s="165" t="s">
        <v>166</v>
      </c>
      <c r="D65" s="140" t="s">
        <v>154</v>
      </c>
      <c r="E65" s="133" t="s">
        <v>61</v>
      </c>
      <c r="F65" s="134" t="s">
        <v>66</v>
      </c>
      <c r="H65" s="22"/>
      <c r="I65" s="140" t="s">
        <v>165</v>
      </c>
      <c r="J65" s="133" t="s">
        <v>61</v>
      </c>
      <c r="K65" s="134" t="s">
        <v>66</v>
      </c>
      <c r="L65" s="57"/>
      <c r="M65" s="58"/>
      <c r="O65" s="60"/>
      <c r="R65" s="60"/>
    </row>
    <row r="66" spans="1:18" x14ac:dyDescent="0.25">
      <c r="A66" s="61">
        <f>C5</f>
        <v>0</v>
      </c>
      <c r="B66" s="143">
        <f>C4</f>
        <v>0</v>
      </c>
      <c r="C66" s="169" t="e">
        <f>C57</f>
        <v>#DIV/0!</v>
      </c>
      <c r="D66" s="135" t="e">
        <f>C57</f>
        <v>#DIV/0!</v>
      </c>
      <c r="E66" s="22"/>
      <c r="F66" s="101"/>
      <c r="H66" s="22"/>
      <c r="I66" s="164" t="str">
        <f>C28</f>
        <v>F</v>
      </c>
      <c r="J66" s="38"/>
      <c r="K66" s="137"/>
      <c r="L66" s="55"/>
      <c r="M66" s="56"/>
      <c r="O66" s="52"/>
      <c r="R66" s="52"/>
    </row>
    <row r="67" spans="1:18" x14ac:dyDescent="0.25">
      <c r="A67" s="164">
        <f>C$5</f>
        <v>0</v>
      </c>
      <c r="B67" s="137">
        <v>1</v>
      </c>
      <c r="C67" s="167" t="str">
        <f>IF(AND($C$4="House Officer",$B67&gt;4),"",IF(AND($C$5="Urban Scale",$C$4="House Officer"),HLOOKUP($C$57,RDASly!$B$6:$I$10,$B67+1,0),IF(AND($C$5="Non Urban Scale",$C$4="House Officer"),HLOOKUP($C$57,RDASly!$B$14:$I$18,$B67+1,0),IF(AND($C$5="Urban Scale",$C$4="Registrar"),HLOOKUP($C$57,RDASly!$B$23:$I$33,$B67+1,0),IF(AND($C$5="Non Urban Scale",$C$4="Registrar"),HLOOKUP($C$57,RDASly!$B$38:$I$48,$B67+1,0),"Error")))))</f>
        <v>Error</v>
      </c>
      <c r="D67" s="136" t="str">
        <f>IF(AND($C$4="House Officer",$B67&gt;4),"",IF(AND($C$5="Urban Scale",$C$4="House Officer"),HLOOKUP($C$57,SToNZSly!$B$6:$I$10,$B67+1,0),IF(AND($C$5="Non Urban Scale",$C$4="House Officer"),HLOOKUP($C$57,SToNZSly!$B$14:$I$18,$B67+1,0),IF(AND($C$5="Urban Scale",$C$4="Registrar"),HLOOKUP($C$57,SToNZSly!$B$23:$I$33,$B67+1,0),IF(AND($C$5="Non Urban Scale",$C$4="Registrar"),HLOOKUP($C$57,SToNZSly!$B$38:$I$48,$B67+1,0),"Error")))))</f>
        <v>Error</v>
      </c>
      <c r="E67" s="63" t="e">
        <f t="shared" ref="E67:E76" si="0">IF(AND($C$4="House Officer",$B67&gt;4),"",D67-C67)</f>
        <v>#VALUE!</v>
      </c>
      <c r="F67" s="137" t="str">
        <f>IF(ISNUMBER(E67),IF(E67&gt;=0,"Increase","Decrease"),"")</f>
        <v/>
      </c>
      <c r="H67" s="38"/>
      <c r="I67" s="136" t="str">
        <f>IF(AND($C$4="House Officer",$B67&gt;4),"",IF(AND($C$5="Urban Scale",$C$4="House Officer"),HLOOKUP($C$28,SToNZSly!$B$6:$I$10,$B67+1,0),IF(AND($C$5="Non Urban Scale",$C$4="House Officer"),HLOOKUP($C$28,SToNZSly!$B$14:$I$18,$B67+1,0),IF(AND($C$5="Urban Scale",$C$4="Registrar"),HLOOKUP($C$28,SToNZSly!$B$23:$I$33,$B67+1,0),IF(AND($C$5="Non Urban Scale",$C$4="Registrar"),HLOOKUP($C$28,SToNZSly!$B$38:$I$48,$B67+1,0),"Error")))))</f>
        <v>Error</v>
      </c>
      <c r="J67" s="63" t="e">
        <f>IF(AND($C$4="House Officer",$B67&gt;4),"",I67-C67)</f>
        <v>#VALUE!</v>
      </c>
      <c r="K67" s="137" t="str">
        <f>IF(ISNUMBER(J67),IF(J67&gt;=0,"Increase","Decrease"),"")</f>
        <v/>
      </c>
      <c r="L67" s="55"/>
      <c r="M67" s="56"/>
      <c r="O67" s="52"/>
      <c r="R67" s="52"/>
    </row>
    <row r="68" spans="1:18" x14ac:dyDescent="0.25">
      <c r="A68" s="164">
        <f t="shared" ref="A68:A70" si="1">C$5</f>
        <v>0</v>
      </c>
      <c r="B68" s="137">
        <v>2</v>
      </c>
      <c r="C68" s="167" t="str">
        <f>IF(AND($C$4="House Officer",$B68&gt;4),"",IF(AND($C$5="Urban Scale",$C$4="House Officer"),HLOOKUP($C$57,RDASly!$B$6:$I$10,$B68+1,0),IF(AND($C$5="Non Urban Scale",$C$4="House Officer"),HLOOKUP($C$57,RDASly!$B$14:$I$18,$B68+1,0),IF(AND($C$5="Urban Scale",$C$4="Registrar"),HLOOKUP($C$57,RDASly!$B$23:$I$33,$B68+1,0),IF(AND($C$5="Non Urban Scale",$C$4="Registrar"),HLOOKUP($C$57,RDASly!$B$38:$I$48,$B68+1,0),"Error")))))</f>
        <v>Error</v>
      </c>
      <c r="D68" s="136" t="str">
        <f>IF(AND($C$4="House Officer",$B68&gt;4),"",IF(AND($C$5="Urban Scale",$C$4="House Officer"),HLOOKUP($C$57,SToNZSly!$B$6:$I$10,$B68+1,0),IF(AND($C$5="Non Urban Scale",$C$4="House Officer"),HLOOKUP($C$57,SToNZSly!$B$14:$I$18,$B68+1,0),IF(AND($C$5="Urban Scale",$C$4="Registrar"),HLOOKUP($C$57,SToNZSly!$B$23:$I$33,$B68+1,0),IF(AND($C$5="Non Urban Scale",$C$4="Registrar"),HLOOKUP($C$57,SToNZSly!$B$38:$I$48,$B68+1,0),"Error")))))</f>
        <v>Error</v>
      </c>
      <c r="E68" s="63" t="e">
        <f t="shared" si="0"/>
        <v>#VALUE!</v>
      </c>
      <c r="F68" s="137" t="str">
        <f t="shared" ref="F68:F76" si="2">IF(ISNUMBER(E68),IF(E68&gt;=0,"Increase","Decrease"),"")</f>
        <v/>
      </c>
      <c r="H68" s="38"/>
      <c r="I68" s="136" t="str">
        <f>IF(AND($C$4="House Officer",$B68&gt;4),"",IF(AND($C$5="Urban Scale",$C$4="House Officer"),HLOOKUP($C$28,SToNZSly!$B$6:$I$10,$B68+1,0),IF(AND($C$5="Non Urban Scale",$C$4="House Officer"),HLOOKUP($C$28,SToNZSly!$B$14:$I$18,$B68+1,0),IF(AND($C$5="Urban Scale",$C$4="Registrar"),HLOOKUP($C$28,SToNZSly!$B$23:$I$33,$B68+1,0),IF(AND($C$5="Non Urban Scale",$C$4="Registrar"),HLOOKUP($C$28,SToNZSly!$B$38:$I$48,$B68+1,0),"Error")))))</f>
        <v>Error</v>
      </c>
      <c r="J68" s="63" t="e">
        <f t="shared" ref="J68:J76" si="3">IF(AND($C$4="House Officer",$B68&gt;4),"",I68-C68)</f>
        <v>#VALUE!</v>
      </c>
      <c r="K68" s="137" t="str">
        <f t="shared" ref="K68:K76" si="4">IF(ISNUMBER(J68),IF(J68&gt;=0,"Increase","Decrease"),"")</f>
        <v/>
      </c>
      <c r="L68" s="55"/>
      <c r="M68" s="56"/>
      <c r="O68" s="52"/>
      <c r="R68" s="52"/>
    </row>
    <row r="69" spans="1:18" x14ac:dyDescent="0.25">
      <c r="A69" s="164">
        <f t="shared" si="1"/>
        <v>0</v>
      </c>
      <c r="B69" s="137">
        <v>3</v>
      </c>
      <c r="C69" s="167" t="str">
        <f>IF(AND($C$4="House Officer",$B69&gt;4),"",IF(AND($C$5="Urban Scale",$C$4="House Officer"),HLOOKUP($C$57,RDASly!$B$6:$I$10,$B69+1,0),IF(AND($C$5="Non Urban Scale",$C$4="House Officer"),HLOOKUP($C$57,RDASly!$B$14:$I$18,$B69+1,0),IF(AND($C$5="Urban Scale",$C$4="Registrar"),HLOOKUP($C$57,RDASly!$B$23:$I$33,$B69+1,0),IF(AND($C$5="Non Urban Scale",$C$4="Registrar"),HLOOKUP($C$57,RDASly!$B$38:$I$48,$B69+1,0),"Error")))))</f>
        <v>Error</v>
      </c>
      <c r="D69" s="136" t="str">
        <f>IF(AND($C$4="House Officer",$B69&gt;4),"",IF(AND($C$5="Urban Scale",$C$4="House Officer"),HLOOKUP($C$57,SToNZSly!$B$6:$I$10,$B69+1,0),IF(AND($C$5="Non Urban Scale",$C$4="House Officer"),HLOOKUP($C$57,SToNZSly!$B$14:$I$18,$B69+1,0),IF(AND($C$5="Urban Scale",$C$4="Registrar"),HLOOKUP($C$57,SToNZSly!$B$23:$I$33,$B69+1,0),IF(AND($C$5="Non Urban Scale",$C$4="Registrar"),HLOOKUP($C$57,SToNZSly!$B$38:$I$48,$B69+1,0),"Error")))))</f>
        <v>Error</v>
      </c>
      <c r="E69" s="63" t="e">
        <f t="shared" si="0"/>
        <v>#VALUE!</v>
      </c>
      <c r="F69" s="137" t="str">
        <f t="shared" si="2"/>
        <v/>
      </c>
      <c r="H69" s="38"/>
      <c r="I69" s="136" t="str">
        <f>IF(AND($C$4="House Officer",$B69&gt;4),"",IF(AND($C$5="Urban Scale",$C$4="House Officer"),HLOOKUP($C$28,SToNZSly!$B$6:$I$10,$B69+1,0),IF(AND($C$5="Non Urban Scale",$C$4="House Officer"),HLOOKUP($C$28,SToNZSly!$B$14:$I$18,$B69+1,0),IF(AND($C$5="Urban Scale",$C$4="Registrar"),HLOOKUP($C$28,SToNZSly!$B$23:$I$33,$B69+1,0),IF(AND($C$5="Non Urban Scale",$C$4="Registrar"),HLOOKUP($C$28,SToNZSly!$B$38:$I$48,$B69+1,0),"Error")))))</f>
        <v>Error</v>
      </c>
      <c r="J69" s="63" t="e">
        <f t="shared" si="3"/>
        <v>#VALUE!</v>
      </c>
      <c r="K69" s="137" t="str">
        <f t="shared" si="4"/>
        <v/>
      </c>
      <c r="L69" s="55"/>
      <c r="M69" s="56"/>
      <c r="O69" s="52"/>
      <c r="R69" s="52"/>
    </row>
    <row r="70" spans="1:18" x14ac:dyDescent="0.25">
      <c r="A70" s="164">
        <f t="shared" si="1"/>
        <v>0</v>
      </c>
      <c r="B70" s="137">
        <v>4</v>
      </c>
      <c r="C70" s="167" t="str">
        <f>IF(AND($C$4="House Officer",$B70&gt;4),"",IF(AND($C$5="Urban Scale",$C$4="House Officer"),HLOOKUP($C$57,RDASly!$B$6:$I$10,$B70+1,0),IF(AND($C$5="Non Urban Scale",$C$4="House Officer"),HLOOKUP($C$57,RDASly!$B$14:$I$18,$B70+1,0),IF(AND($C$5="Urban Scale",$C$4="Registrar"),HLOOKUP($C$57,RDASly!$B$23:$I$33,$B70+1,0),IF(AND($C$5="Non Urban Scale",$C$4="Registrar"),HLOOKUP($C$57,RDASly!$B$38:$I$48,$B70+1,0),"Error")))))</f>
        <v>Error</v>
      </c>
      <c r="D70" s="136" t="str">
        <f>IF(AND($C$4="House Officer",$B70&gt;4),"",IF(AND($C$5="Urban Scale",$C$4="House Officer"),HLOOKUP($C$57,SToNZSly!$B$6:$I$10,$B70+1,0),IF(AND($C$5="Non Urban Scale",$C$4="House Officer"),HLOOKUP($C$57,SToNZSly!$B$14:$I$18,$B70+1,0),IF(AND($C$5="Urban Scale",$C$4="Registrar"),HLOOKUP($C$57,SToNZSly!$B$23:$I$33,$B70+1,0),IF(AND($C$5="Non Urban Scale",$C$4="Registrar"),HLOOKUP($C$57,SToNZSly!$B$38:$I$48,$B70+1,0),"Error")))))</f>
        <v>Error</v>
      </c>
      <c r="E70" s="63" t="e">
        <f t="shared" si="0"/>
        <v>#VALUE!</v>
      </c>
      <c r="F70" s="137" t="str">
        <f t="shared" si="2"/>
        <v/>
      </c>
      <c r="H70" s="38"/>
      <c r="I70" s="136" t="str">
        <f>IF(AND($C$4="House Officer",$B70&gt;4),"",IF(AND($C$5="Urban Scale",$C$4="House Officer"),HLOOKUP($C$28,SToNZSly!$B$6:$I$10,$B70+1,0),IF(AND($C$5="Non Urban Scale",$C$4="House Officer"),HLOOKUP($C$28,SToNZSly!$B$14:$I$18,$B70+1,0),IF(AND($C$5="Urban Scale",$C$4="Registrar"),HLOOKUP($C$28,SToNZSly!$B$23:$I$33,$B70+1,0),IF(AND($C$5="Non Urban Scale",$C$4="Registrar"),HLOOKUP($C$28,SToNZSly!$B$38:$I$48,$B70+1,0),"Error")))))</f>
        <v>Error</v>
      </c>
      <c r="J70" s="63" t="e">
        <f t="shared" si="3"/>
        <v>#VALUE!</v>
      </c>
      <c r="K70" s="137" t="str">
        <f t="shared" si="4"/>
        <v/>
      </c>
      <c r="L70" s="55"/>
      <c r="M70" s="56"/>
      <c r="O70" s="52"/>
      <c r="R70" s="52"/>
    </row>
    <row r="71" spans="1:18" x14ac:dyDescent="0.25">
      <c r="A71" s="24" t="str">
        <f t="shared" ref="A71:A76" si="5">IF(C$4="Registrar",C$5,"")</f>
        <v/>
      </c>
      <c r="B71" s="137" t="str">
        <f>IF(C$4="Registrar",B70+1,"")</f>
        <v/>
      </c>
      <c r="C71" s="167" t="str">
        <f>IF(AND($C$4="House Officer",$B71&gt;4),"",IF(AND($C$5="Urban Scale",$C$4="House Officer"),HLOOKUP($C$57,RDASly!$B$6:$I$10,$B71+1,0),IF(AND($C$5="Non Urban Scale",$C$4="House Officer"),HLOOKUP($C$57,RDASly!$B$14:$I$18,$B71+1,0),IF(AND($C$5="Urban Scale",$C$4="Registrar"),HLOOKUP($C$57,RDASly!$B$23:$I$33,$B71+1,0),IF(AND($C$5="Non Urban Scale",$C$4="Registrar"),HLOOKUP($C$57,RDASly!$B$38:$I$48,$B71+1,0),"Error")))))</f>
        <v>Error</v>
      </c>
      <c r="D71" s="136" t="str">
        <f>IF(AND($C$4="House Officer",$B71&gt;4),"",IF(AND($C$5="Urban Scale",$C$4="House Officer"),HLOOKUP($C$57,SToNZSly!$B$6:$I$10,$B71+1,0),IF(AND($C$5="Non Urban Scale",$C$4="House Officer"),HLOOKUP($C$57,SToNZSly!$B$14:$I$18,$B71+1,0),IF(AND($C$5="Urban Scale",$C$4="Registrar"),HLOOKUP($C$57,SToNZSly!$B$23:$I$33,$B71+1,0),IF(AND($C$5="Non Urban Scale",$C$4="Registrar"),HLOOKUP($C$57,SToNZSly!$B$38:$I$48,$B71+1,0),"Error")))))</f>
        <v>Error</v>
      </c>
      <c r="E71" s="63" t="e">
        <f t="shared" si="0"/>
        <v>#VALUE!</v>
      </c>
      <c r="F71" s="137" t="str">
        <f t="shared" si="2"/>
        <v/>
      </c>
      <c r="H71" s="38"/>
      <c r="I71" s="136" t="str">
        <f>IF(AND($C$4="House Officer",$B71&gt;4),"",IF(AND($C$5="Urban Scale",$C$4="House Officer"),HLOOKUP($C$28,SToNZSly!$B$6:$I$10,$B71+1,0),IF(AND($C$5="Non Urban Scale",$C$4="House Officer"),HLOOKUP($C$28,SToNZSly!$B$14:$I$18,$B71+1,0),IF(AND($C$5="Urban Scale",$C$4="Registrar"),HLOOKUP($C$28,SToNZSly!$B$23:$I$33,$B71+1,0),IF(AND($C$5="Non Urban Scale",$C$4="Registrar"),HLOOKUP($C$28,SToNZSly!$B$38:$I$48,$B71+1,0),"Error")))))</f>
        <v>Error</v>
      </c>
      <c r="J71" s="63" t="e">
        <f t="shared" si="3"/>
        <v>#VALUE!</v>
      </c>
      <c r="K71" s="137" t="str">
        <f t="shared" si="4"/>
        <v/>
      </c>
      <c r="L71" s="55"/>
      <c r="M71" s="56"/>
      <c r="O71" s="52"/>
      <c r="R71" s="52"/>
    </row>
    <row r="72" spans="1:18" x14ac:dyDescent="0.25">
      <c r="A72" s="24" t="str">
        <f t="shared" si="5"/>
        <v/>
      </c>
      <c r="B72" s="137" t="str">
        <f t="shared" ref="B72:B76" si="6">IF(C$4="Registrar",B71+1,"")</f>
        <v/>
      </c>
      <c r="C72" s="167" t="str">
        <f>IF(AND($C$4="House Officer",$B72&gt;4),"",IF(AND($C$5="Urban Scale",$C$4="House Officer"),HLOOKUP($C$57,RDASly!$B$6:$I$10,$B72+1,0),IF(AND($C$5="Non Urban Scale",$C$4="House Officer"),HLOOKUP($C$57,RDASly!$B$14:$I$18,$B72+1,0),IF(AND($C$5="Urban Scale",$C$4="Registrar"),HLOOKUP($C$57,RDASly!$B$23:$I$33,$B72+1,0),IF(AND($C$5="Non Urban Scale",$C$4="Registrar"),HLOOKUP($C$57,RDASly!$B$38:$I$48,$B72+1,0),"Error")))))</f>
        <v>Error</v>
      </c>
      <c r="D72" s="136" t="str">
        <f>IF(AND($C$4="House Officer",$B72&gt;4),"",IF(AND($C$5="Urban Scale",$C$4="House Officer"),HLOOKUP($C$57,SToNZSly!$B$6:$I$10,$B72+1,0),IF(AND($C$5="Non Urban Scale",$C$4="House Officer"),HLOOKUP($C$57,SToNZSly!$B$14:$I$18,$B72+1,0),IF(AND($C$5="Urban Scale",$C$4="Registrar"),HLOOKUP($C$57,SToNZSly!$B$23:$I$33,$B72+1,0),IF(AND($C$5="Non Urban Scale",$C$4="Registrar"),HLOOKUP($C$57,SToNZSly!$B$38:$I$48,$B72+1,0),"Error")))))</f>
        <v>Error</v>
      </c>
      <c r="E72" s="63" t="e">
        <f t="shared" si="0"/>
        <v>#VALUE!</v>
      </c>
      <c r="F72" s="137" t="str">
        <f t="shared" si="2"/>
        <v/>
      </c>
      <c r="H72" s="38"/>
      <c r="I72" s="136" t="str">
        <f>IF(AND($C$4="House Officer",$B72&gt;4),"",IF(AND($C$5="Urban Scale",$C$4="House Officer"),HLOOKUP($C$28,SToNZSly!$B$6:$I$10,$B72+1,0),IF(AND($C$5="Non Urban Scale",$C$4="House Officer"),HLOOKUP($C$28,SToNZSly!$B$14:$I$18,$B72+1,0),IF(AND($C$5="Urban Scale",$C$4="Registrar"),HLOOKUP($C$28,SToNZSly!$B$23:$I$33,$B72+1,0),IF(AND($C$5="Non Urban Scale",$C$4="Registrar"),HLOOKUP($C$28,SToNZSly!$B$38:$I$48,$B72+1,0),"Error")))))</f>
        <v>Error</v>
      </c>
      <c r="J72" s="63" t="e">
        <f t="shared" si="3"/>
        <v>#VALUE!</v>
      </c>
      <c r="K72" s="137" t="str">
        <f t="shared" si="4"/>
        <v/>
      </c>
      <c r="L72" s="55"/>
      <c r="M72" s="56"/>
      <c r="O72" s="52"/>
      <c r="R72" s="52"/>
    </row>
    <row r="73" spans="1:18" x14ac:dyDescent="0.25">
      <c r="A73" s="24" t="str">
        <f t="shared" si="5"/>
        <v/>
      </c>
      <c r="B73" s="137" t="str">
        <f t="shared" si="6"/>
        <v/>
      </c>
      <c r="C73" s="167" t="str">
        <f>IF(AND($C$4="House Officer",$B73&gt;4),"",IF(AND($C$5="Urban Scale",$C$4="House Officer"),HLOOKUP($C$57,RDASly!$B$6:$I$10,$B73+1,0),IF(AND($C$5="Non Urban Scale",$C$4="House Officer"),HLOOKUP($C$57,RDASly!$B$14:$I$18,$B73+1,0),IF(AND($C$5="Urban Scale",$C$4="Registrar"),HLOOKUP($C$57,RDASly!$B$23:$I$33,$B73+1,0),IF(AND($C$5="Non Urban Scale",$C$4="Registrar"),HLOOKUP($C$57,RDASly!$B$38:$I$48,$B73+1,0),"Error")))))</f>
        <v>Error</v>
      </c>
      <c r="D73" s="136" t="str">
        <f>IF(AND($C$4="House Officer",$B73&gt;4),"",IF(AND($C$5="Urban Scale",$C$4="House Officer"),HLOOKUP($C$57,SToNZSly!$B$6:$I$10,$B73+1,0),IF(AND($C$5="Non Urban Scale",$C$4="House Officer"),HLOOKUP($C$57,SToNZSly!$B$14:$I$18,$B73+1,0),IF(AND($C$5="Urban Scale",$C$4="Registrar"),HLOOKUP($C$57,SToNZSly!$B$23:$I$33,$B73+1,0),IF(AND($C$5="Non Urban Scale",$C$4="Registrar"),HLOOKUP($C$57,SToNZSly!$B$38:$I$48,$B73+1,0),"Error")))))</f>
        <v>Error</v>
      </c>
      <c r="E73" s="63" t="e">
        <f t="shared" si="0"/>
        <v>#VALUE!</v>
      </c>
      <c r="F73" s="137" t="str">
        <f t="shared" si="2"/>
        <v/>
      </c>
      <c r="H73" s="38"/>
      <c r="I73" s="136" t="str">
        <f>IF(AND($C$4="House Officer",$B73&gt;4),"",IF(AND($C$5="Urban Scale",$C$4="House Officer"),HLOOKUP($C$28,SToNZSly!$B$6:$I$10,$B73+1,0),IF(AND($C$5="Non Urban Scale",$C$4="House Officer"),HLOOKUP($C$28,SToNZSly!$B$14:$I$18,$B73+1,0),IF(AND($C$5="Urban Scale",$C$4="Registrar"),HLOOKUP($C$28,SToNZSly!$B$23:$I$33,$B73+1,0),IF(AND($C$5="Non Urban Scale",$C$4="Registrar"),HLOOKUP($C$28,SToNZSly!$B$38:$I$48,$B73+1,0),"Error")))))</f>
        <v>Error</v>
      </c>
      <c r="J73" s="63" t="e">
        <f t="shared" si="3"/>
        <v>#VALUE!</v>
      </c>
      <c r="K73" s="137" t="str">
        <f t="shared" si="4"/>
        <v/>
      </c>
      <c r="L73" s="55"/>
      <c r="M73" s="56"/>
      <c r="O73" s="52"/>
      <c r="R73" s="52"/>
    </row>
    <row r="74" spans="1:18" x14ac:dyDescent="0.25">
      <c r="A74" s="24" t="str">
        <f t="shared" si="5"/>
        <v/>
      </c>
      <c r="B74" s="137" t="str">
        <f t="shared" si="6"/>
        <v/>
      </c>
      <c r="C74" s="167" t="str">
        <f>IF(AND($C$4="House Officer",$B74&gt;4),"",IF(AND($C$5="Urban Scale",$C$4="House Officer"),HLOOKUP($C$57,RDASly!$B$6:$I$10,$B74+1,0),IF(AND($C$5="Non Urban Scale",$C$4="House Officer"),HLOOKUP($C$57,RDASly!$B$14:$I$18,$B74+1,0),IF(AND($C$5="Urban Scale",$C$4="Registrar"),HLOOKUP($C$57,RDASly!$B$23:$I$33,$B74+1,0),IF(AND($C$5="Non Urban Scale",$C$4="Registrar"),HLOOKUP($C$57,RDASly!$B$38:$I$48,$B74+1,0),"Error")))))</f>
        <v>Error</v>
      </c>
      <c r="D74" s="136" t="str">
        <f>IF(AND($C$4="House Officer",$B74&gt;4),"",IF(AND($C$5="Urban Scale",$C$4="House Officer"),HLOOKUP($C$57,SToNZSly!$B$6:$I$10,$B74+1,0),IF(AND($C$5="Non Urban Scale",$C$4="House Officer"),HLOOKUP($C$57,SToNZSly!$B$14:$I$18,$B74+1,0),IF(AND($C$5="Urban Scale",$C$4="Registrar"),HLOOKUP($C$57,SToNZSly!$B$23:$I$33,$B74+1,0),IF(AND($C$5="Non Urban Scale",$C$4="Registrar"),HLOOKUP($C$57,SToNZSly!$B$38:$I$48,$B74+1,0),"Error")))))</f>
        <v>Error</v>
      </c>
      <c r="E74" s="63" t="e">
        <f t="shared" si="0"/>
        <v>#VALUE!</v>
      </c>
      <c r="F74" s="137" t="str">
        <f t="shared" si="2"/>
        <v/>
      </c>
      <c r="H74" s="38"/>
      <c r="I74" s="136" t="str">
        <f>IF(AND($C$4="House Officer",$B74&gt;4),"",IF(AND($C$5="Urban Scale",$C$4="House Officer"),HLOOKUP($C$28,SToNZSly!$B$6:$I$10,$B74+1,0),IF(AND($C$5="Non Urban Scale",$C$4="House Officer"),HLOOKUP($C$28,SToNZSly!$B$14:$I$18,$B74+1,0),IF(AND($C$5="Urban Scale",$C$4="Registrar"),HLOOKUP($C$28,SToNZSly!$B$23:$I$33,$B74+1,0),IF(AND($C$5="Non Urban Scale",$C$4="Registrar"),HLOOKUP($C$28,SToNZSly!$B$38:$I$48,$B74+1,0),"Error")))))</f>
        <v>Error</v>
      </c>
      <c r="J74" s="63" t="e">
        <f t="shared" si="3"/>
        <v>#VALUE!</v>
      </c>
      <c r="K74" s="137" t="str">
        <f t="shared" si="4"/>
        <v/>
      </c>
      <c r="L74" s="55"/>
      <c r="M74" s="56"/>
      <c r="O74" s="52"/>
      <c r="R74" s="52"/>
    </row>
    <row r="75" spans="1:18" x14ac:dyDescent="0.25">
      <c r="A75" s="24" t="str">
        <f t="shared" si="5"/>
        <v/>
      </c>
      <c r="B75" s="137" t="str">
        <f t="shared" si="6"/>
        <v/>
      </c>
      <c r="C75" s="167" t="str">
        <f>IF(AND($C$4="House Officer",$B75&gt;4),"",IF(AND($C$5="Urban Scale",$C$4="House Officer"),HLOOKUP($C$57,RDASly!$B$6:$I$10,$B75+1,0),IF(AND($C$5="Non Urban Scale",$C$4="House Officer"),HLOOKUP($C$57,RDASly!$B$14:$I$18,$B75+1,0),IF(AND($C$5="Urban Scale",$C$4="Registrar"),HLOOKUP($C$57,RDASly!$B$23:$I$33,$B75+1,0),IF(AND($C$5="Non Urban Scale",$C$4="Registrar"),HLOOKUP($C$57,RDASly!$B$38:$I$48,$B75+1,0),"Error")))))</f>
        <v>Error</v>
      </c>
      <c r="D75" s="136" t="str">
        <f>IF(AND($C$4="House Officer",$B75&gt;4),"",IF(AND($C$5="Urban Scale",$C$4="House Officer"),HLOOKUP($C$57,SToNZSly!$B$6:$I$10,$B75+1,0),IF(AND($C$5="Non Urban Scale",$C$4="House Officer"),HLOOKUP($C$57,SToNZSly!$B$14:$I$18,$B75+1,0),IF(AND($C$5="Urban Scale",$C$4="Registrar"),HLOOKUP($C$57,SToNZSly!$B$23:$I$33,$B75+1,0),IF(AND($C$5="Non Urban Scale",$C$4="Registrar"),HLOOKUP($C$57,SToNZSly!$B$38:$I$48,$B75+1,0),"Error")))))</f>
        <v>Error</v>
      </c>
      <c r="E75" s="63" t="e">
        <f t="shared" si="0"/>
        <v>#VALUE!</v>
      </c>
      <c r="F75" s="137" t="str">
        <f t="shared" si="2"/>
        <v/>
      </c>
      <c r="H75" s="38"/>
      <c r="I75" s="136" t="str">
        <f>IF(AND($C$4="House Officer",$B75&gt;4),"",IF(AND($C$5="Urban Scale",$C$4="House Officer"),HLOOKUP($C$28,SToNZSly!$B$6:$I$10,$B75+1,0),IF(AND($C$5="Non Urban Scale",$C$4="House Officer"),HLOOKUP($C$28,SToNZSly!$B$14:$I$18,$B75+1,0),IF(AND($C$5="Urban Scale",$C$4="Registrar"),HLOOKUP($C$28,SToNZSly!$B$23:$I$33,$B75+1,0),IF(AND($C$5="Non Urban Scale",$C$4="Registrar"),HLOOKUP($C$28,SToNZSly!$B$38:$I$48,$B75+1,0),"Error")))))</f>
        <v>Error</v>
      </c>
      <c r="J75" s="63" t="e">
        <f t="shared" si="3"/>
        <v>#VALUE!</v>
      </c>
      <c r="K75" s="137" t="str">
        <f t="shared" si="4"/>
        <v/>
      </c>
      <c r="L75" s="55"/>
      <c r="M75" s="56"/>
      <c r="O75" s="52"/>
      <c r="R75" s="52"/>
    </row>
    <row r="76" spans="1:18" ht="15.75" thickBot="1" x14ac:dyDescent="0.3">
      <c r="A76" s="39" t="str">
        <f t="shared" si="5"/>
        <v/>
      </c>
      <c r="B76" s="139" t="str">
        <f t="shared" si="6"/>
        <v/>
      </c>
      <c r="C76" s="168" t="str">
        <f>IF(AND($C$4="House Officer",$B76&gt;4),"",IF(AND($C$5="Urban Scale",$C$4="House Officer"),HLOOKUP($C$57,RDASly!$B$6:$I$10,$B76+1,0),IF(AND($C$5="Non Urban Scale",$C$4="House Officer"),HLOOKUP($C$57,RDASly!$B$14:$I$18,$B76+1,0),IF(AND($C$5="Urban Scale",$C$4="Registrar"),HLOOKUP($C$57,RDASly!$B$23:$I$33,$B76+1,0),IF(AND($C$5="Non Urban Scale",$C$4="Registrar"),HLOOKUP($C$57,RDASly!$B$38:$I$48,$B76+1,0),"Error")))))</f>
        <v>Error</v>
      </c>
      <c r="D76" s="138" t="str">
        <f>IF(AND($C$4="House Officer",$B76&gt;4),"",IF(AND($C$5="Urban Scale",$C$4="House Officer"),HLOOKUP($C$57,SToNZSly!$B$6:$I$10,$B76+1,0),IF(AND($C$5="Non Urban Scale",$C$4="House Officer"),HLOOKUP($C$57,SToNZSly!$B$14:$I$18,$B76+1,0),IF(AND($C$5="Urban Scale",$C$4="Registrar"),HLOOKUP($C$57,SToNZSly!$B$23:$I$33,$B76+1,0),IF(AND($C$5="Non Urban Scale",$C$4="Registrar"),HLOOKUP($C$57,SToNZSly!$B$38:$I$48,$B76+1,0),"Error")))))</f>
        <v>Error</v>
      </c>
      <c r="E76" s="64" t="e">
        <f t="shared" si="0"/>
        <v>#VALUE!</v>
      </c>
      <c r="F76" s="139" t="str">
        <f t="shared" si="2"/>
        <v/>
      </c>
      <c r="H76" s="38"/>
      <c r="I76" s="138" t="str">
        <f>IF(AND($C$4="House Officer",$B76&gt;4),"",IF(AND($C$5="Urban Scale",$C$4="House Officer"),HLOOKUP($C$28,SToNZSly!$B$6:$I$10,$B76+1,0),IF(AND($C$5="Non Urban Scale",$C$4="House Officer"),HLOOKUP($C$28,SToNZSly!$B$14:$I$18,$B76+1,0),IF(AND($C$5="Urban Scale",$C$4="Registrar"),HLOOKUP($C$28,SToNZSly!$B$23:$I$33,$B76+1,0),IF(AND($C$5="Non Urban Scale",$C$4="Registrar"),HLOOKUP($C$28,SToNZSly!$B$38:$I$48,$B76+1,0),"Error")))))</f>
        <v>Error</v>
      </c>
      <c r="J76" s="64" t="e">
        <f t="shared" si="3"/>
        <v>#VALUE!</v>
      </c>
      <c r="K76" s="139" t="str">
        <f t="shared" si="4"/>
        <v/>
      </c>
      <c r="L76" s="55"/>
      <c r="M76" s="56"/>
      <c r="O76" s="52"/>
      <c r="R76" s="52"/>
    </row>
    <row r="77" spans="1:18" x14ac:dyDescent="0.25">
      <c r="A77" s="24"/>
      <c r="B77" s="38"/>
      <c r="C77" s="63"/>
      <c r="D77" s="63"/>
      <c r="E77" s="63"/>
      <c r="F77" s="65"/>
      <c r="G77" s="63"/>
      <c r="H77" s="22"/>
      <c r="I77" s="66"/>
      <c r="J77" s="22"/>
      <c r="K77" s="55"/>
      <c r="L77" s="55"/>
      <c r="M77" s="56"/>
      <c r="O77" s="52"/>
      <c r="R77" s="52"/>
    </row>
    <row r="78" spans="1:18" ht="18.75" x14ac:dyDescent="0.3">
      <c r="A78" s="67" t="s">
        <v>63</v>
      </c>
      <c r="B78" s="38"/>
      <c r="C78" s="63"/>
      <c r="D78" s="63"/>
      <c r="E78" s="63"/>
      <c r="F78" s="65"/>
      <c r="G78" s="63"/>
      <c r="H78" s="22"/>
      <c r="I78" s="66"/>
      <c r="J78" s="22"/>
      <c r="K78" s="55"/>
      <c r="L78" s="55"/>
      <c r="M78" s="56"/>
      <c r="O78" s="52"/>
      <c r="R78" s="52"/>
    </row>
    <row r="79" spans="1:18" ht="19.5" thickBot="1" x14ac:dyDescent="0.35">
      <c r="A79" s="67"/>
      <c r="B79" s="38"/>
      <c r="C79" s="63"/>
      <c r="D79" s="63"/>
      <c r="E79" s="63"/>
      <c r="F79" s="65"/>
      <c r="G79" s="63"/>
      <c r="H79" s="22"/>
      <c r="I79" s="66"/>
      <c r="J79" s="22"/>
      <c r="K79" s="68"/>
      <c r="L79" s="55"/>
      <c r="M79" s="56"/>
      <c r="O79" s="52"/>
      <c r="R79" s="52"/>
    </row>
    <row r="80" spans="1:18" s="59" customFormat="1" ht="42.75" customHeight="1" x14ac:dyDescent="0.25">
      <c r="A80" s="144" t="s">
        <v>59</v>
      </c>
      <c r="B80" s="142" t="s">
        <v>60</v>
      </c>
      <c r="C80" s="165" t="s">
        <v>166</v>
      </c>
      <c r="D80" s="140" t="s">
        <v>154</v>
      </c>
      <c r="E80" s="133" t="s">
        <v>61</v>
      </c>
      <c r="F80" s="134" t="s">
        <v>62</v>
      </c>
      <c r="H80" s="22"/>
      <c r="I80" s="140" t="s">
        <v>165</v>
      </c>
      <c r="J80" s="133" t="s">
        <v>61</v>
      </c>
      <c r="K80" s="134" t="s">
        <v>66</v>
      </c>
      <c r="L80" s="57"/>
      <c r="M80" s="58"/>
      <c r="O80" s="60"/>
      <c r="R80" s="60"/>
    </row>
    <row r="81" spans="1:12" x14ac:dyDescent="0.25">
      <c r="A81" s="61">
        <f>C5</f>
        <v>0</v>
      </c>
      <c r="B81" s="143">
        <f>+C4</f>
        <v>0</v>
      </c>
      <c r="C81" s="166">
        <f>C61</f>
        <v>0</v>
      </c>
      <c r="D81" s="61">
        <f>C59</f>
        <v>0</v>
      </c>
      <c r="E81" s="22"/>
      <c r="F81" s="101"/>
      <c r="H81" s="22"/>
      <c r="I81" s="61">
        <f>C29</f>
        <v>0</v>
      </c>
      <c r="J81" s="38"/>
      <c r="K81" s="137"/>
      <c r="L81" s="22"/>
    </row>
    <row r="82" spans="1:12" x14ac:dyDescent="0.25">
      <c r="A82" s="164">
        <f>C$5</f>
        <v>0</v>
      </c>
      <c r="B82" s="137">
        <v>1</v>
      </c>
      <c r="C82" s="167" t="str">
        <f>IF(AND($C$4="House Officer",$B82&gt;4),"",IF(AND($C$5="Urban Scale",$C$4="House Officer"),HLOOKUP($C$61,RDASly!$B$6:$I$10,$B82+1,0),IF(AND($C$5="Non Urban Scale",$C$4="House Officer"),HLOOKUP($C$61,RDASly!$B$14:$I$18,$B82+1,0),IF(AND($C$5="Urban Scale",$C$4="Registrar"),HLOOKUP($C$61,RDASly!$B$23:$I$33,$B82+1,0),IF(AND($C$5="Non Urban Scale",$C$4="Registrar"),HLOOKUP($C$61,RDASly!$B$38:$I$48,$B82+1,0),"Error")))))</f>
        <v>Error</v>
      </c>
      <c r="D82" s="136" t="str">
        <f>IF(AND($C$4="House Officer",$B82&gt;4),"",IF(AND($C$5="Urban Scale",$C$4="House Officer"),HLOOKUP($C$59,SToNZSly!$B$6:$I$10,$B82+1,0),IF(AND($C$5="Non Urban Scale",$C$4="House Officer"),HLOOKUP($C$59,SToNZSly!$B$14:$I$18,$B82+1,0),IF(AND($C$5="Urban Scale",$C$4="Registrar"),HLOOKUP($C$59,SToNZSly!$B$23:$I$33,$B82+1,0),IF(AND($C$5="Non Urban Scale",$C$4="Registrar"),HLOOKUP($C$59,SToNZSly!$B$38:$I$48,$B82+1,0),"Error")))))</f>
        <v>Error</v>
      </c>
      <c r="E82" s="63" t="e">
        <f t="shared" ref="E82:E91" si="7">IF(AND($C$4="House Officer",$B82&gt;4),"",D82-C82)</f>
        <v>#VALUE!</v>
      </c>
      <c r="F82" s="137" t="str">
        <f t="shared" ref="F82:F91" si="8">IF(ISNUMBER(E82),IF(E82&gt;=0,"Increase","Decrease"),"")</f>
        <v/>
      </c>
      <c r="H82" s="38"/>
      <c r="I82" s="136" t="str">
        <f>IF(AND($C$4="House Officer",$B82&gt;4),"",IF(AND($C$5="Urban Scale",$C$4="House Officer"),HLOOKUP($C$29,SToNZSly!$B$6:$I$10,$B82+1,0),IF(AND($C$5="Non Urban Scale",$C$4="House Officer"),HLOOKUP($C$29,SToNZSly!$B$14:$I$18,$B82+1,0),IF(AND($C$5="Urban Scale",$C$4="Registrar"),HLOOKUP($C$29,SToNZSly!$B$23:$I$33,$B82+1,0),IF(AND($C$5="Non Urban Scale",$C$4="Registrar"),HLOOKUP($C$29,SToNZSly!$B$38:$I$48,$B82+1,0),"Error")))))</f>
        <v>Error</v>
      </c>
      <c r="J82" s="63" t="e">
        <f>IF(AND($C$4="House Officer",$B82&gt;4),"",I82-C82)</f>
        <v>#VALUE!</v>
      </c>
      <c r="K82" s="137" t="str">
        <f>IF(ISNUMBER(J82),IF(J82&gt;=0,"Increase","Decrease"),"")</f>
        <v/>
      </c>
      <c r="L82" s="22"/>
    </row>
    <row r="83" spans="1:12" x14ac:dyDescent="0.25">
      <c r="A83" s="164">
        <f t="shared" ref="A83:A85" si="9">C$5</f>
        <v>0</v>
      </c>
      <c r="B83" s="137">
        <v>2</v>
      </c>
      <c r="C83" s="167" t="str">
        <f>IF(AND($C$4="House Officer",$B83&gt;4),"",IF(AND($C$5="Urban Scale",$C$4="House Officer"),HLOOKUP($C$61,RDASly!$B$6:$I$10,$B83+1,0),IF(AND($C$5="Non Urban Scale",$C$4="House Officer"),HLOOKUP($C$61,RDASly!$B$14:$I$18,$B83+1,0),IF(AND($C$5="Urban Scale",$C$4="Registrar"),HLOOKUP($C$61,RDASly!$B$23:$I$33,$B83+1,0),IF(AND($C$5="Non Urban Scale",$C$4="Registrar"),HLOOKUP($C$61,RDASly!$B$38:$I$48,$B83+1,0),"Error")))))</f>
        <v>Error</v>
      </c>
      <c r="D83" s="136" t="str">
        <f>IF(AND($C$4="House Officer",$B83&gt;4),"",IF(AND($C$5="Urban Scale",$C$4="House Officer"),HLOOKUP($C$59,SToNZSly!$B$6:$I$10,$B83+1,0),IF(AND($C$5="Non Urban Scale",$C$4="House Officer"),HLOOKUP($C$59,SToNZSly!$B$14:$I$18,$B83+1,0),IF(AND($C$5="Urban Scale",$C$4="Registrar"),HLOOKUP($C$59,SToNZSly!$B$23:$I$33,$B83+1,0),IF(AND($C$5="Non Urban Scale",$C$4="Registrar"),HLOOKUP($C$59,SToNZSly!$B$38:$I$48,$B83+1,0),"Error")))))</f>
        <v>Error</v>
      </c>
      <c r="E83" s="63" t="e">
        <f t="shared" si="7"/>
        <v>#VALUE!</v>
      </c>
      <c r="F83" s="137" t="str">
        <f t="shared" si="8"/>
        <v/>
      </c>
      <c r="H83" s="38"/>
      <c r="I83" s="136" t="str">
        <f>IF(AND($C$4="House Officer",$B83&gt;4),"",IF(AND($C$5="Urban Scale",$C$4="House Officer"),HLOOKUP($C$29,SToNZSly!$B$6:$I$10,$B83+1,0),IF(AND($C$5="Non Urban Scale",$C$4="House Officer"),HLOOKUP($C$29,SToNZSly!$B$14:$I$18,$B83+1,0),IF(AND($C$5="Urban Scale",$C$4="Registrar"),HLOOKUP($C$29,SToNZSly!$B$23:$I$33,$B83+1,0),IF(AND($C$5="Non Urban Scale",$C$4="Registrar"),HLOOKUP($C$29,SToNZSly!$B$38:$I$48,$B83+1,0),"Error")))))</f>
        <v>Error</v>
      </c>
      <c r="J83" s="63" t="e">
        <f t="shared" ref="J83:J91" si="10">IF(AND($C$4="House Officer",$B83&gt;4),"",I83-C83)</f>
        <v>#VALUE!</v>
      </c>
      <c r="K83" s="137" t="str">
        <f t="shared" ref="K83:K91" si="11">IF(ISNUMBER(J83),IF(J83&gt;=0,"Increase","Decrease"),"")</f>
        <v/>
      </c>
      <c r="L83" s="22"/>
    </row>
    <row r="84" spans="1:12" x14ac:dyDescent="0.25">
      <c r="A84" s="164">
        <f t="shared" si="9"/>
        <v>0</v>
      </c>
      <c r="B84" s="137">
        <v>3</v>
      </c>
      <c r="C84" s="167" t="str">
        <f>IF(AND($C$4="House Officer",$B84&gt;4),"",IF(AND($C$5="Urban Scale",$C$4="House Officer"),HLOOKUP($C$61,RDASly!$B$6:$I$10,$B84+1,0),IF(AND($C$5="Non Urban Scale",$C$4="House Officer"),HLOOKUP($C$61,RDASly!$B$14:$I$18,$B84+1,0),IF(AND($C$5="Urban Scale",$C$4="Registrar"),HLOOKUP($C$61,RDASly!$B$23:$I$33,$B84+1,0),IF(AND($C$5="Non Urban Scale",$C$4="Registrar"),HLOOKUP($C$61,RDASly!$B$38:$I$48,$B84+1,0),"Error")))))</f>
        <v>Error</v>
      </c>
      <c r="D84" s="136" t="str">
        <f>IF(AND($C$4="House Officer",$B84&gt;4),"",IF(AND($C$5="Urban Scale",$C$4="House Officer"),HLOOKUP($C$59,SToNZSly!$B$6:$I$10,$B84+1,0),IF(AND($C$5="Non Urban Scale",$C$4="House Officer"),HLOOKUP($C$59,SToNZSly!$B$14:$I$18,$B84+1,0),IF(AND($C$5="Urban Scale",$C$4="Registrar"),HLOOKUP($C$59,SToNZSly!$B$23:$I$33,$B84+1,0),IF(AND($C$5="Non Urban Scale",$C$4="Registrar"),HLOOKUP($C$59,SToNZSly!$B$38:$I$48,$B84+1,0),"Error")))))</f>
        <v>Error</v>
      </c>
      <c r="E84" s="63" t="e">
        <f t="shared" si="7"/>
        <v>#VALUE!</v>
      </c>
      <c r="F84" s="137" t="str">
        <f t="shared" si="8"/>
        <v/>
      </c>
      <c r="H84" s="38"/>
      <c r="I84" s="136" t="str">
        <f>IF(AND($C$4="House Officer",$B84&gt;4),"",IF(AND($C$5="Urban Scale",$C$4="House Officer"),HLOOKUP($C$29,SToNZSly!$B$6:$I$10,$B84+1,0),IF(AND($C$5="Non Urban Scale",$C$4="House Officer"),HLOOKUP($C$29,SToNZSly!$B$14:$I$18,$B84+1,0),IF(AND($C$5="Urban Scale",$C$4="Registrar"),HLOOKUP($C$29,SToNZSly!$B$23:$I$33,$B84+1,0),IF(AND($C$5="Non Urban Scale",$C$4="Registrar"),HLOOKUP($C$29,SToNZSly!$B$38:$I$48,$B84+1,0),"Error")))))</f>
        <v>Error</v>
      </c>
      <c r="J84" s="63" t="e">
        <f t="shared" si="10"/>
        <v>#VALUE!</v>
      </c>
      <c r="K84" s="137" t="str">
        <f t="shared" si="11"/>
        <v/>
      </c>
      <c r="L84" s="22"/>
    </row>
    <row r="85" spans="1:12" x14ac:dyDescent="0.25">
      <c r="A85" s="164">
        <f t="shared" si="9"/>
        <v>0</v>
      </c>
      <c r="B85" s="137">
        <v>4</v>
      </c>
      <c r="C85" s="167" t="str">
        <f>IF(AND($C$4="House Officer",$B85&gt;4),"",IF(AND($C$5="Urban Scale",$C$4="House Officer"),HLOOKUP($C$61,RDASly!$B$6:$I$10,$B85+1,0),IF(AND($C$5="Non Urban Scale",$C$4="House Officer"),HLOOKUP($C$61,RDASly!$B$14:$I$18,$B85+1,0),IF(AND($C$5="Urban Scale",$C$4="Registrar"),HLOOKUP($C$61,RDASly!$B$23:$I$33,$B85+1,0),IF(AND($C$5="Non Urban Scale",$C$4="Registrar"),HLOOKUP($C$61,RDASly!$B$38:$I$48,$B85+1,0),"Error")))))</f>
        <v>Error</v>
      </c>
      <c r="D85" s="136" t="str">
        <f>IF(AND($C$4="House Officer",$B85&gt;4),"",IF(AND($C$5="Urban Scale",$C$4="House Officer"),HLOOKUP($C$59,SToNZSly!$B$6:$I$10,$B85+1,0),IF(AND($C$5="Non Urban Scale",$C$4="House Officer"),HLOOKUP($C$59,SToNZSly!$B$14:$I$18,$B85+1,0),IF(AND($C$5="Urban Scale",$C$4="Registrar"),HLOOKUP($C$59,SToNZSly!$B$23:$I$33,$B85+1,0),IF(AND($C$5="Non Urban Scale",$C$4="Registrar"),HLOOKUP($C$59,SToNZSly!$B$38:$I$48,$B85+1,0),"Error")))))</f>
        <v>Error</v>
      </c>
      <c r="E85" s="63" t="e">
        <f t="shared" si="7"/>
        <v>#VALUE!</v>
      </c>
      <c r="F85" s="137" t="str">
        <f t="shared" si="8"/>
        <v/>
      </c>
      <c r="H85" s="38"/>
      <c r="I85" s="136" t="str">
        <f>IF(AND($C$4="House Officer",$B85&gt;4),"",IF(AND($C$5="Urban Scale",$C$4="House Officer"),HLOOKUP($C$29,SToNZSly!$B$6:$I$10,$B85+1,0),IF(AND($C$5="Non Urban Scale",$C$4="House Officer"),HLOOKUP($C$29,SToNZSly!$B$14:$I$18,$B85+1,0),IF(AND($C$5="Urban Scale",$C$4="Registrar"),HLOOKUP($C$29,SToNZSly!$B$23:$I$33,$B85+1,0),IF(AND($C$5="Non Urban Scale",$C$4="Registrar"),HLOOKUP($C$29,SToNZSly!$B$38:$I$48,$B85+1,0),"Error")))))</f>
        <v>Error</v>
      </c>
      <c r="J85" s="63" t="e">
        <f t="shared" si="10"/>
        <v>#VALUE!</v>
      </c>
      <c r="K85" s="137" t="str">
        <f t="shared" si="11"/>
        <v/>
      </c>
      <c r="L85" s="22"/>
    </row>
    <row r="86" spans="1:12" x14ac:dyDescent="0.25">
      <c r="A86" s="24" t="str">
        <f t="shared" ref="A86:A91" si="12">IF(C$4="Registrar",C$5,"")</f>
        <v/>
      </c>
      <c r="B86" s="137" t="str">
        <f>IF(C$4="Registrar",B85+1,"")</f>
        <v/>
      </c>
      <c r="C86" s="167" t="str">
        <f>IF(AND($C$4="House Officer",$B86&gt;4),"",IF(AND($C$5="Urban Scale",$C$4="House Officer"),HLOOKUP($C$61,RDASly!$B$6:$I$10,$B86+1,0),IF(AND($C$5="Non Urban Scale",$C$4="House Officer"),HLOOKUP($C$61,RDASly!$B$14:$I$18,$B86+1,0),IF(AND($C$5="Urban Scale",$C$4="Registrar"),HLOOKUP($C$61,RDASly!$B$23:$I$33,$B86+1,0),IF(AND($C$5="Non Urban Scale",$C$4="Registrar"),HLOOKUP($C$61,RDASly!$B$38:$I$48,$B86+1,0),"Error")))))</f>
        <v>Error</v>
      </c>
      <c r="D86" s="136" t="str">
        <f>IF(AND($C$4="House Officer",$B86&gt;4),"",IF(AND($C$5="Urban Scale",$C$4="House Officer"),HLOOKUP($C$59,SToNZSly!$B$6:$I$10,$B86+1,0),IF(AND($C$5="Non Urban Scale",$C$4="House Officer"),HLOOKUP($C$59,SToNZSly!$B$14:$I$18,$B86+1,0),IF(AND($C$5="Urban Scale",$C$4="Registrar"),HLOOKUP($C$59,SToNZSly!$B$23:$I$33,$B86+1,0),IF(AND($C$5="Non Urban Scale",$C$4="Registrar"),HLOOKUP($C$59,SToNZSly!$B$38:$I$48,$B86+1,0),"Error")))))</f>
        <v>Error</v>
      </c>
      <c r="E86" s="63" t="e">
        <f t="shared" si="7"/>
        <v>#VALUE!</v>
      </c>
      <c r="F86" s="137" t="str">
        <f t="shared" si="8"/>
        <v/>
      </c>
      <c r="H86" s="28"/>
      <c r="I86" s="136" t="str">
        <f>IF(AND($C$4="House Officer",$B86&gt;4),"",IF(AND($C$5="Urban Scale",$C$4="House Officer"),HLOOKUP($C$29,SToNZSly!$B$6:$I$10,$B86+1,0),IF(AND($C$5="Non Urban Scale",$C$4="House Officer"),HLOOKUP($C$29,SToNZSly!$B$14:$I$18,$B86+1,0),IF(AND($C$5="Urban Scale",$C$4="Registrar"),HLOOKUP($C$29,SToNZSly!$B$23:$I$33,$B86+1,0),IF(AND($C$5="Non Urban Scale",$C$4="Registrar"),HLOOKUP($C$29,SToNZSly!$B$38:$I$48,$B86+1,0),"Error")))))</f>
        <v>Error</v>
      </c>
      <c r="J86" s="63" t="e">
        <f t="shared" si="10"/>
        <v>#VALUE!</v>
      </c>
      <c r="K86" s="137" t="str">
        <f t="shared" si="11"/>
        <v/>
      </c>
      <c r="L86" s="22"/>
    </row>
    <row r="87" spans="1:12" x14ac:dyDescent="0.25">
      <c r="A87" s="24" t="str">
        <f t="shared" si="12"/>
        <v/>
      </c>
      <c r="B87" s="137" t="str">
        <f t="shared" ref="B87:B91" si="13">IF(C$4="Registrar",B86+1,"")</f>
        <v/>
      </c>
      <c r="C87" s="167" t="str">
        <f>IF(AND($C$4="House Officer",$B87&gt;4),"",IF(AND($C$5="Urban Scale",$C$4="House Officer"),HLOOKUP($C$61,RDASly!$B$6:$I$10,$B87+1,0),IF(AND($C$5="Non Urban Scale",$C$4="House Officer"),HLOOKUP($C$61,RDASly!$B$14:$I$18,$B87+1,0),IF(AND($C$5="Urban Scale",$C$4="Registrar"),HLOOKUP($C$61,RDASly!$B$23:$I$33,$B87+1,0),IF(AND($C$5="Non Urban Scale",$C$4="Registrar"),HLOOKUP($C$61,RDASly!$B$38:$I$48,$B87+1,0),"Error")))))</f>
        <v>Error</v>
      </c>
      <c r="D87" s="136" t="str">
        <f>IF(AND($C$4="House Officer",$B87&gt;4),"",IF(AND($C$5="Urban Scale",$C$4="House Officer"),HLOOKUP($C$59,SToNZSly!$B$6:$I$10,$B87+1,0),IF(AND($C$5="Non Urban Scale",$C$4="House Officer"),HLOOKUP($C$59,SToNZSly!$B$14:$I$18,$B87+1,0),IF(AND($C$5="Urban Scale",$C$4="Registrar"),HLOOKUP($C$59,SToNZSly!$B$23:$I$33,$B87+1,0),IF(AND($C$5="Non Urban Scale",$C$4="Registrar"),HLOOKUP($C$59,SToNZSly!$B$38:$I$48,$B87+1,0),"Error")))))</f>
        <v>Error</v>
      </c>
      <c r="E87" s="63" t="e">
        <f t="shared" si="7"/>
        <v>#VALUE!</v>
      </c>
      <c r="F87" s="137" t="str">
        <f t="shared" si="8"/>
        <v/>
      </c>
      <c r="H87" s="69"/>
      <c r="I87" s="136" t="str">
        <f>IF(AND($C$4="House Officer",$B87&gt;4),"",IF(AND($C$5="Urban Scale",$C$4="House Officer"),HLOOKUP($C$29,SToNZSly!$B$6:$I$10,$B87+1,0),IF(AND($C$5="Non Urban Scale",$C$4="House Officer"),HLOOKUP($C$29,SToNZSly!$B$14:$I$18,$B87+1,0),IF(AND($C$5="Urban Scale",$C$4="Registrar"),HLOOKUP($C$29,SToNZSly!$B$23:$I$33,$B87+1,0),IF(AND($C$5="Non Urban Scale",$C$4="Registrar"),HLOOKUP($C$29,SToNZSly!$B$38:$I$48,$B87+1,0),"Error")))))</f>
        <v>Error</v>
      </c>
      <c r="J87" s="63" t="e">
        <f t="shared" si="10"/>
        <v>#VALUE!</v>
      </c>
      <c r="K87" s="137" t="str">
        <f t="shared" si="11"/>
        <v/>
      </c>
      <c r="L87" s="22"/>
    </row>
    <row r="88" spans="1:12" x14ac:dyDescent="0.25">
      <c r="A88" s="24" t="str">
        <f t="shared" si="12"/>
        <v/>
      </c>
      <c r="B88" s="137" t="str">
        <f t="shared" si="13"/>
        <v/>
      </c>
      <c r="C88" s="167" t="str">
        <f>IF(AND($C$4="House Officer",$B88&gt;4),"",IF(AND($C$5="Urban Scale",$C$4="House Officer"),HLOOKUP($C$61,RDASly!$B$6:$I$10,$B88+1,0),IF(AND($C$5="Non Urban Scale",$C$4="House Officer"),HLOOKUP($C$61,RDASly!$B$14:$I$18,$B88+1,0),IF(AND($C$5="Urban Scale",$C$4="Registrar"),HLOOKUP($C$61,RDASly!$B$23:$I$33,$B88+1,0),IF(AND($C$5="Non Urban Scale",$C$4="Registrar"),HLOOKUP($C$61,RDASly!$B$38:$I$48,$B88+1,0),"Error")))))</f>
        <v>Error</v>
      </c>
      <c r="D88" s="136" t="str">
        <f>IF(AND($C$4="House Officer",$B88&gt;4),"",IF(AND($C$5="Urban Scale",$C$4="House Officer"),HLOOKUP($C$59,SToNZSly!$B$6:$I$10,$B88+1,0),IF(AND($C$5="Non Urban Scale",$C$4="House Officer"),HLOOKUP($C$59,SToNZSly!$B$14:$I$18,$B88+1,0),IF(AND($C$5="Urban Scale",$C$4="Registrar"),HLOOKUP($C$59,SToNZSly!$B$23:$I$33,$B88+1,0),IF(AND($C$5="Non Urban Scale",$C$4="Registrar"),HLOOKUP($C$59,SToNZSly!$B$38:$I$48,$B88+1,0),"Error")))))</f>
        <v>Error</v>
      </c>
      <c r="E88" s="63" t="e">
        <f t="shared" si="7"/>
        <v>#VALUE!</v>
      </c>
      <c r="F88" s="137" t="str">
        <f t="shared" si="8"/>
        <v/>
      </c>
      <c r="H88" s="70"/>
      <c r="I88" s="136" t="str">
        <f>IF(AND($C$4="House Officer",$B88&gt;4),"",IF(AND($C$5="Urban Scale",$C$4="House Officer"),HLOOKUP($C$29,SToNZSly!$B$6:$I$10,$B88+1,0),IF(AND($C$5="Non Urban Scale",$C$4="House Officer"),HLOOKUP($C$29,SToNZSly!$B$14:$I$18,$B88+1,0),IF(AND($C$5="Urban Scale",$C$4="Registrar"),HLOOKUP($C$29,SToNZSly!$B$23:$I$33,$B88+1,0),IF(AND($C$5="Non Urban Scale",$C$4="Registrar"),HLOOKUP($C$29,SToNZSly!$B$38:$I$48,$B88+1,0),"Error")))))</f>
        <v>Error</v>
      </c>
      <c r="J88" s="63" t="e">
        <f t="shared" si="10"/>
        <v>#VALUE!</v>
      </c>
      <c r="K88" s="137" t="str">
        <f t="shared" si="11"/>
        <v/>
      </c>
      <c r="L88" s="22"/>
    </row>
    <row r="89" spans="1:12" x14ac:dyDescent="0.25">
      <c r="A89" s="24" t="str">
        <f t="shared" si="12"/>
        <v/>
      </c>
      <c r="B89" s="137" t="str">
        <f t="shared" si="13"/>
        <v/>
      </c>
      <c r="C89" s="167" t="str">
        <f>IF(AND($C$4="House Officer",$B89&gt;4),"",IF(AND($C$5="Urban Scale",$C$4="House Officer"),HLOOKUP($C$61,RDASly!$B$6:$I$10,$B89+1,0),IF(AND($C$5="Non Urban Scale",$C$4="House Officer"),HLOOKUP($C$61,RDASly!$B$14:$I$18,$B89+1,0),IF(AND($C$5="Urban Scale",$C$4="Registrar"),HLOOKUP($C$61,RDASly!$B$23:$I$33,$B89+1,0),IF(AND($C$5="Non Urban Scale",$C$4="Registrar"),HLOOKUP($C$61,RDASly!$B$38:$I$48,$B89+1,0),"Error")))))</f>
        <v>Error</v>
      </c>
      <c r="D89" s="136" t="str">
        <f>IF(AND($C$4="House Officer",$B89&gt;4),"",IF(AND($C$5="Urban Scale",$C$4="House Officer"),HLOOKUP($C$59,SToNZSly!$B$6:$I$10,$B89+1,0),IF(AND($C$5="Non Urban Scale",$C$4="House Officer"),HLOOKUP($C$59,SToNZSly!$B$14:$I$18,$B89+1,0),IF(AND($C$5="Urban Scale",$C$4="Registrar"),HLOOKUP($C$59,SToNZSly!$B$23:$I$33,$B89+1,0),IF(AND($C$5="Non Urban Scale",$C$4="Registrar"),HLOOKUP($C$59,SToNZSly!$B$38:$I$48,$B89+1,0),"Error")))))</f>
        <v>Error</v>
      </c>
      <c r="E89" s="63" t="e">
        <f t="shared" si="7"/>
        <v>#VALUE!</v>
      </c>
      <c r="F89" s="137" t="str">
        <f t="shared" si="8"/>
        <v/>
      </c>
      <c r="H89" s="70"/>
      <c r="I89" s="136" t="str">
        <f>IF(AND($C$4="House Officer",$B89&gt;4),"",IF(AND($C$5="Urban Scale",$C$4="House Officer"),HLOOKUP($C$29,SToNZSly!$B$6:$I$10,$B89+1,0),IF(AND($C$5="Non Urban Scale",$C$4="House Officer"),HLOOKUP($C$29,SToNZSly!$B$14:$I$18,$B89+1,0),IF(AND($C$5="Urban Scale",$C$4="Registrar"),HLOOKUP($C$29,SToNZSly!$B$23:$I$33,$B89+1,0),IF(AND($C$5="Non Urban Scale",$C$4="Registrar"),HLOOKUP($C$29,SToNZSly!$B$38:$I$48,$B89+1,0),"Error")))))</f>
        <v>Error</v>
      </c>
      <c r="J89" s="63" t="e">
        <f t="shared" si="10"/>
        <v>#VALUE!</v>
      </c>
      <c r="K89" s="137" t="str">
        <f t="shared" si="11"/>
        <v/>
      </c>
      <c r="L89" s="22"/>
    </row>
    <row r="90" spans="1:12" x14ac:dyDescent="0.25">
      <c r="A90" s="24" t="str">
        <f t="shared" si="12"/>
        <v/>
      </c>
      <c r="B90" s="137" t="str">
        <f t="shared" si="13"/>
        <v/>
      </c>
      <c r="C90" s="167" t="str">
        <f>IF(AND($C$4="House Officer",$B90&gt;4),"",IF(AND($C$5="Urban Scale",$C$4="House Officer"),HLOOKUP($C$61,RDASly!$B$6:$I$10,$B90+1,0),IF(AND($C$5="Non Urban Scale",$C$4="House Officer"),HLOOKUP($C$61,RDASly!$B$14:$I$18,$B90+1,0),IF(AND($C$5="Urban Scale",$C$4="Registrar"),HLOOKUP($C$61,RDASly!$B$23:$I$33,$B90+1,0),IF(AND($C$5="Non Urban Scale",$C$4="Registrar"),HLOOKUP($C$61,RDASly!$B$38:$I$48,$B90+1,0),"Error")))))</f>
        <v>Error</v>
      </c>
      <c r="D90" s="136" t="str">
        <f>IF(AND($C$4="House Officer",$B90&gt;4),"",IF(AND($C$5="Urban Scale",$C$4="House Officer"),HLOOKUP($C$59,SToNZSly!$B$6:$I$10,$B90+1,0),IF(AND($C$5="Non Urban Scale",$C$4="House Officer"),HLOOKUP($C$59,SToNZSly!$B$14:$I$18,$B90+1,0),IF(AND($C$5="Urban Scale",$C$4="Registrar"),HLOOKUP($C$59,SToNZSly!$B$23:$I$33,$B90+1,0),IF(AND($C$5="Non Urban Scale",$C$4="Registrar"),HLOOKUP($C$59,SToNZSly!$B$38:$I$48,$B90+1,0),"Error")))))</f>
        <v>Error</v>
      </c>
      <c r="E90" s="63" t="e">
        <f t="shared" si="7"/>
        <v>#VALUE!</v>
      </c>
      <c r="F90" s="137" t="str">
        <f t="shared" si="8"/>
        <v/>
      </c>
      <c r="H90" s="22"/>
      <c r="I90" s="136" t="str">
        <f>IF(AND($C$4="House Officer",$B90&gt;4),"",IF(AND($C$5="Urban Scale",$C$4="House Officer"),HLOOKUP($C$29,SToNZSly!$B$6:$I$10,$B90+1,0),IF(AND($C$5="Non Urban Scale",$C$4="House Officer"),HLOOKUP($C$29,SToNZSly!$B$14:$I$18,$B90+1,0),IF(AND($C$5="Urban Scale",$C$4="Registrar"),HLOOKUP($C$29,SToNZSly!$B$23:$I$33,$B90+1,0),IF(AND($C$5="Non Urban Scale",$C$4="Registrar"),HLOOKUP($C$29,SToNZSly!$B$38:$I$48,$B90+1,0),"Error")))))</f>
        <v>Error</v>
      </c>
      <c r="J90" s="63" t="e">
        <f t="shared" si="10"/>
        <v>#VALUE!</v>
      </c>
      <c r="K90" s="137" t="str">
        <f t="shared" si="11"/>
        <v/>
      </c>
      <c r="L90" s="22"/>
    </row>
    <row r="91" spans="1:12" ht="15.75" thickBot="1" x14ac:dyDescent="0.3">
      <c r="A91" s="39" t="str">
        <f t="shared" si="12"/>
        <v/>
      </c>
      <c r="B91" s="139" t="str">
        <f t="shared" si="13"/>
        <v/>
      </c>
      <c r="C91" s="168" t="str">
        <f>IF(AND($C$4="House Officer",$B91&gt;4),"",IF(AND($C$5="Urban Scale",$C$4="House Officer"),HLOOKUP($C$61,RDASly!$B$6:$I$10,$B91+1,0),IF(AND($C$5="Non Urban Scale",$C$4="House Officer"),HLOOKUP($C$61,RDASly!$B$14:$I$18,$B91+1,0),IF(AND($C$5="Urban Scale",$C$4="Registrar"),HLOOKUP($C$61,RDASly!$B$23:$I$33,$B91+1,0),IF(AND($C$5="Non Urban Scale",$C$4="Registrar"),HLOOKUP($C$61,RDASly!$B$38:$I$48,$B91+1,0),"Error")))))</f>
        <v>Error</v>
      </c>
      <c r="D91" s="138" t="str">
        <f>IF(AND($C$4="House Officer",$B91&gt;4),"",IF(AND($C$5="Urban Scale",$C$4="House Officer"),HLOOKUP($C$59,SToNZSly!$B$6:$I$10,$B91+1,0),IF(AND($C$5="Non Urban Scale",$C$4="House Officer"),HLOOKUP($C$59,SToNZSly!$B$14:$I$18,$B91+1,0),IF(AND($C$5="Urban Scale",$C$4="Registrar"),HLOOKUP($C$59,SToNZSly!$B$23:$I$33,$B91+1,0),IF(AND($C$5="Non Urban Scale",$C$4="Registrar"),HLOOKUP($C$59,SToNZSly!$B$38:$I$48,$B91+1,0),"Error")))))</f>
        <v>Error</v>
      </c>
      <c r="E91" s="64" t="e">
        <f t="shared" si="7"/>
        <v>#VALUE!</v>
      </c>
      <c r="F91" s="139" t="str">
        <f t="shared" si="8"/>
        <v/>
      </c>
      <c r="H91" s="22"/>
      <c r="I91" s="138" t="str">
        <f>IF(AND($C$4="House Officer",$B91&gt;4),"",IF(AND($C$5="Urban Scale",$C$4="House Officer"),HLOOKUP($C$29,SToNZSly!$B$6:$I$10,$B91+1,0),IF(AND($C$5="Non Urban Scale",$C$4="House Officer"),HLOOKUP($C$29,SToNZSly!$B$14:$I$18,$B91+1,0),IF(AND($C$5="Urban Scale",$C$4="Registrar"),HLOOKUP($C$29,SToNZSly!$B$23:$I$33,$B91+1,0),IF(AND($C$5="Non Urban Scale",$C$4="Registrar"),HLOOKUP($C$29,SToNZSly!$B$38:$I$48,$B91+1,0),"Error")))))</f>
        <v>Error</v>
      </c>
      <c r="J91" s="64" t="e">
        <f t="shared" si="10"/>
        <v>#VALUE!</v>
      </c>
      <c r="K91" s="139" t="str">
        <f t="shared" si="11"/>
        <v/>
      </c>
      <c r="L91" s="22"/>
    </row>
    <row r="92" spans="1:12" x14ac:dyDescent="0.25">
      <c r="A92" s="22"/>
      <c r="B92" s="38"/>
      <c r="C92" s="22"/>
      <c r="D92" s="22"/>
      <c r="E92" s="22"/>
      <c r="F92" s="22"/>
      <c r="G92" s="22"/>
      <c r="H92" s="22"/>
      <c r="I92" s="22"/>
      <c r="J92" s="38" t="str">
        <f t="shared" ref="J92" si="14">IF(ISNUMBER(I92),IF(I92&gt;=0,"Increase","Decrease"),"")</f>
        <v/>
      </c>
      <c r="K92" s="22"/>
      <c r="L92" s="22"/>
    </row>
    <row r="93" spans="1:12" x14ac:dyDescent="0.25">
      <c r="B93" s="26"/>
    </row>
    <row r="94" spans="1:12" x14ac:dyDescent="0.25">
      <c r="B94" s="26"/>
    </row>
    <row r="95" spans="1:12" x14ac:dyDescent="0.25">
      <c r="B95" s="26"/>
    </row>
    <row r="96" spans="1:12" x14ac:dyDescent="0.25">
      <c r="B96" s="26"/>
    </row>
    <row r="97" spans="2:2" x14ac:dyDescent="0.25">
      <c r="B97" s="26"/>
    </row>
  </sheetData>
  <sheetProtection algorithmName="SHA-512" hashValue="8zHQghloyapRffG6wbvNKxcL9Pxin9CcgK9I2VdrjDbL8fzHTZ82+8ty2lL5zV/MsX7MvI75J1Sb/pXIyewGug==" saltValue="esMCcIUS2ISGE5DrfiJjHg==" spinCount="100000" sheet="1" selectLockedCells="1"/>
  <mergeCells count="12">
    <mergeCell ref="E61:I61"/>
    <mergeCell ref="A32:A61"/>
    <mergeCell ref="A1:L1"/>
    <mergeCell ref="A21:A30"/>
    <mergeCell ref="B21:C21"/>
    <mergeCell ref="B22:C22"/>
    <mergeCell ref="C32:G32"/>
    <mergeCell ref="C33:G33"/>
    <mergeCell ref="F35:G35"/>
    <mergeCell ref="F38:G38"/>
    <mergeCell ref="F42:G42"/>
    <mergeCell ref="F45:G45"/>
  </mergeCells>
  <conditionalFormatting sqref="E82:E91">
    <cfRule type="cellIs" dxfId="4" priority="3" operator="lessThan">
      <formula>0</formula>
    </cfRule>
    <cfRule type="cellIs" dxfId="3" priority="5" operator="lessThan">
      <formula>0</formula>
    </cfRule>
  </conditionalFormatting>
  <conditionalFormatting sqref="E67:E76">
    <cfRule type="cellIs" dxfId="2" priority="4" operator="lessThan">
      <formula>0</formula>
    </cfRule>
  </conditionalFormatting>
  <conditionalFormatting sqref="F82:F91">
    <cfRule type="containsText" dxfId="1" priority="2" operator="containsText" text="Decrease">
      <formula>NOT(ISERROR(SEARCH("Decrease",F82)))</formula>
    </cfRule>
  </conditionalFormatting>
  <conditionalFormatting sqref="F67:F76">
    <cfRule type="containsText" dxfId="0" priority="1" operator="containsText" text="Decrease">
      <formula>NOT(ISERROR(SEARCH("Decrease",F67)))</formula>
    </cfRule>
  </conditionalFormatting>
  <dataValidations count="3">
    <dataValidation type="whole" allowBlank="1" showInputMessage="1" showErrorMessage="1" errorTitle="Error" error="This must be a whole number between 1 and 999" sqref="C18 C12" xr:uid="{00000000-0002-0000-0200-000000000000}">
      <formula1>1</formula1>
      <formula2>999</formula2>
    </dataValidation>
    <dataValidation type="decimal" allowBlank="1" showInputMessage="1" showErrorMessage="1" errorTitle="Error" error="Must be a number and no more than 32 hours" sqref="C24" xr:uid="{00000000-0002-0000-0200-000001000000}">
      <formula1>1</formula1>
      <formula2>32</formula2>
    </dataValidation>
    <dataValidation type="decimal" allowBlank="1" showInputMessage="1" showErrorMessage="1" errorTitle="Error" error="Must be a number less than 32 hours" sqref="C25" xr:uid="{00000000-0002-0000-0200-000002000000}">
      <formula1>0.1</formula1>
      <formula2>32</formula2>
    </dataValidation>
  </dataValidations>
  <printOptions horizontalCentered="1"/>
  <pageMargins left="0.11811023622047245" right="0.11811023622047245" top="0.19685039370078741" bottom="0.19685039370078741" header="0.31496062992125984" footer="0.11811023622047245"/>
  <pageSetup paperSize="8" scale="86" fitToHeight="2" orientation="landscape" r:id="rId1"/>
  <headerFooter>
    <oddFooter>&amp;LNorthern Regional Alliance ©&amp;C&amp;F&amp;R&amp;9Verison 5.0 Last Updated 20/04/2022</oddFooter>
  </headerFooter>
  <rowBreaks count="1" manualBreakCount="1">
    <brk id="62" max="11" man="1"/>
  </rowBreaks>
  <extLst>
    <ext xmlns:x14="http://schemas.microsoft.com/office/spreadsheetml/2009/9/main" uri="{CCE6A557-97BC-4b89-ADB6-D9C93CAAB3DF}">
      <x14:dataValidations xmlns:xm="http://schemas.microsoft.com/office/excel/2006/main" count="6">
        <x14:dataValidation type="list" showInputMessage="1" showErrorMessage="1" error="Please select from drop down list" xr:uid="{00000000-0002-0000-0200-000003000000}">
          <x14:formula1>
            <xm:f>Reference!$A$2:$A$3</xm:f>
          </x14:formula1>
          <xm:sqref>C4</xm:sqref>
        </x14:dataValidation>
        <x14:dataValidation type="list" showInputMessage="1" showErrorMessage="1" error="Please Select_x000a_" promptTitle="DHB" xr:uid="{00000000-0002-0000-0200-000004000000}">
          <x14:formula1>
            <xm:f>Reference!$C$2:$C$21</xm:f>
          </x14:formula1>
          <xm:sqref>C3</xm:sqref>
        </x14:dataValidation>
        <x14:dataValidation type="list" showErrorMessage="1" error="Please Select_x000a_" prompt="_x000a_" xr:uid="{00000000-0002-0000-0200-000005000000}">
          <x14:formula1>
            <xm:f>Reference!$E$2:$E$5</xm:f>
          </x14:formula1>
          <xm:sqref>C15 C9</xm:sqref>
        </x14:dataValidation>
        <x14:dataValidation type="list" showInputMessage="1" showErrorMessage="1" xr:uid="{00000000-0002-0000-0200-000006000000}">
          <x14:formula1>
            <xm:f>Reference!$F$2:$F$46</xm:f>
          </x14:formula1>
          <xm:sqref>C16 C10</xm:sqref>
        </x14:dataValidation>
        <x14:dataValidation type="list" showInputMessage="1" showErrorMessage="1" error="Please select from drop down list" xr:uid="{00000000-0002-0000-0200-000007000000}">
          <x14:formula1>
            <xm:f>Reference!$B$2:$B$3</xm:f>
          </x14:formula1>
          <xm:sqref>C5</xm:sqref>
        </x14:dataValidation>
        <x14:dataValidation type="list" showInputMessage="1" showErrorMessage="1" xr:uid="{00000000-0002-0000-0200-000008000000}">
          <x14:formula1>
            <xm:f>Reference!$N$2:$N$7</xm:f>
          </x14:formula1>
          <xm:sqref>C29 C59 C61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48"/>
  <sheetViews>
    <sheetView zoomScale="85" zoomScaleNormal="85" workbookViewId="0">
      <selection activeCell="H55" sqref="H55"/>
    </sheetView>
  </sheetViews>
  <sheetFormatPr defaultColWidth="8.85546875" defaultRowHeight="15" x14ac:dyDescent="0.25"/>
  <cols>
    <col min="1" max="1" width="15.42578125" bestFit="1" customWidth="1"/>
    <col min="2" max="2" width="11" customWidth="1"/>
    <col min="3" max="9" width="9.28515625" bestFit="1" customWidth="1"/>
    <col min="10" max="10" width="12" customWidth="1"/>
    <col min="11" max="13" width="24.7109375" style="114" bestFit="1" customWidth="1"/>
    <col min="14" max="15" width="24.7109375" bestFit="1" customWidth="1"/>
    <col min="16" max="16" width="12" customWidth="1"/>
  </cols>
  <sheetData>
    <row r="1" spans="1:13" x14ac:dyDescent="0.25">
      <c r="A1" s="201" t="s">
        <v>67</v>
      </c>
      <c r="B1" s="201"/>
      <c r="C1" s="201"/>
      <c r="D1" s="201"/>
      <c r="E1" s="201"/>
      <c r="F1" s="201"/>
      <c r="G1" s="201"/>
      <c r="H1" s="201"/>
      <c r="I1" s="201"/>
      <c r="J1" s="201"/>
      <c r="K1" s="201"/>
      <c r="L1" s="201"/>
      <c r="M1" s="201"/>
    </row>
    <row r="2" spans="1:13" s="5" customFormat="1" x14ac:dyDescent="0.25">
      <c r="A2" s="9"/>
      <c r="B2" s="9"/>
      <c r="C2" s="9"/>
      <c r="D2" s="9"/>
      <c r="E2" s="9"/>
      <c r="F2" s="9"/>
      <c r="G2" s="9"/>
      <c r="H2" s="9"/>
      <c r="I2" s="9"/>
      <c r="J2" s="9"/>
      <c r="K2" s="111"/>
      <c r="L2" s="111"/>
      <c r="M2" s="111"/>
    </row>
    <row r="3" spans="1:13" x14ac:dyDescent="0.25">
      <c r="A3" s="200" t="s">
        <v>68</v>
      </c>
      <c r="B3" s="200"/>
      <c r="C3" s="200"/>
      <c r="D3" s="200"/>
      <c r="E3" s="200"/>
      <c r="F3" s="200"/>
      <c r="G3" s="200"/>
      <c r="H3" s="200"/>
      <c r="I3" s="200"/>
      <c r="J3" s="200"/>
      <c r="K3" s="200"/>
      <c r="L3" s="200"/>
      <c r="M3" s="200"/>
    </row>
    <row r="4" spans="1:13" x14ac:dyDescent="0.25">
      <c r="A4" s="199" t="s">
        <v>69</v>
      </c>
      <c r="B4" s="199"/>
      <c r="C4" s="199"/>
      <c r="D4" s="199"/>
      <c r="E4" s="199"/>
      <c r="F4" s="199"/>
      <c r="G4" s="199"/>
      <c r="H4" s="199"/>
      <c r="I4" s="199"/>
      <c r="J4" s="199"/>
      <c r="K4" s="199"/>
      <c r="L4" s="199"/>
      <c r="M4" s="199"/>
    </row>
    <row r="5" spans="1:13" x14ac:dyDescent="0.25">
      <c r="K5" s="112" t="s">
        <v>139</v>
      </c>
      <c r="L5" s="113">
        <v>43920</v>
      </c>
    </row>
    <row r="6" spans="1:13" x14ac:dyDescent="0.25">
      <c r="A6" s="1" t="s">
        <v>70</v>
      </c>
      <c r="B6" s="1" t="s">
        <v>71</v>
      </c>
      <c r="C6" s="1" t="s">
        <v>72</v>
      </c>
      <c r="D6" s="1" t="s">
        <v>73</v>
      </c>
      <c r="E6" s="1" t="s">
        <v>74</v>
      </c>
      <c r="F6" s="1" t="s">
        <v>75</v>
      </c>
      <c r="G6" s="1" t="s">
        <v>76</v>
      </c>
      <c r="H6" s="1" t="s">
        <v>77</v>
      </c>
      <c r="I6" s="1" t="s">
        <v>78</v>
      </c>
      <c r="J6" s="1"/>
      <c r="K6" s="112">
        <v>1.0249999999999999</v>
      </c>
      <c r="L6" s="112">
        <v>1.03</v>
      </c>
    </row>
    <row r="7" spans="1:13" x14ac:dyDescent="0.25">
      <c r="A7" s="1">
        <v>1</v>
      </c>
      <c r="B7" s="115">
        <f>D9</f>
        <v>130713</v>
      </c>
      <c r="C7" s="115">
        <f>D8</f>
        <v>123975</v>
      </c>
      <c r="D7" s="11">
        <f>104102*K6*L6+K9</f>
        <v>114905.6865</v>
      </c>
      <c r="E7" s="11">
        <f>91485*K6*L6+K9</f>
        <v>101585.28874999999</v>
      </c>
      <c r="F7" s="11">
        <f>82020*K6*L6+K9</f>
        <v>91592.614999999991</v>
      </c>
      <c r="G7" s="11">
        <f>72554*K6*L6+K9</f>
        <v>81598.885499999989</v>
      </c>
      <c r="H7" s="11">
        <f>63091*K6*L6+K9</f>
        <v>71608.323250000001</v>
      </c>
      <c r="I7" s="11">
        <f>56783*K6*L6+K9</f>
        <v>64948.652249999999</v>
      </c>
      <c r="J7" s="12"/>
    </row>
    <row r="8" spans="1:13" x14ac:dyDescent="0.25">
      <c r="A8" s="1">
        <v>2</v>
      </c>
      <c r="B8" s="115">
        <f>D10</f>
        <v>137451.22774999999</v>
      </c>
      <c r="C8" s="115">
        <f>D9</f>
        <v>130713</v>
      </c>
      <c r="D8" s="11">
        <v>123975</v>
      </c>
      <c r="E8" s="11">
        <f>99036*K6*L6+K9</f>
        <v>109557.257</v>
      </c>
      <c r="F8" s="11">
        <f>88792*K6*L6+K9</f>
        <v>98742.153999999995</v>
      </c>
      <c r="G8" s="11">
        <f>78546*K6*L6+K9</f>
        <v>87924.939499999993</v>
      </c>
      <c r="H8" s="11">
        <v>77106</v>
      </c>
      <c r="I8" s="11">
        <f>61469*K6*L6+K9</f>
        <v>69895.896749999985</v>
      </c>
      <c r="J8" s="12"/>
      <c r="K8" s="112" t="s">
        <v>146</v>
      </c>
      <c r="L8" s="112" t="s">
        <v>147</v>
      </c>
      <c r="M8" s="112" t="s">
        <v>148</v>
      </c>
    </row>
    <row r="9" spans="1:13" x14ac:dyDescent="0.25">
      <c r="A9" s="1">
        <v>3</v>
      </c>
      <c r="B9" s="115">
        <f>D10+5000</f>
        <v>142451.22774999999</v>
      </c>
      <c r="C9" s="115">
        <f>D10</f>
        <v>137451.22774999999</v>
      </c>
      <c r="D9" s="11">
        <v>130713</v>
      </c>
      <c r="E9" s="11">
        <f>104641*K6*L6+K9</f>
        <v>115474.73574999999</v>
      </c>
      <c r="F9" s="11">
        <f>93815*K6*L6+K9</f>
        <v>104045.18624999998</v>
      </c>
      <c r="G9" s="11">
        <f>82991*K6*L6+K9</f>
        <v>92617.74824999999</v>
      </c>
      <c r="H9" s="11">
        <f>72163*K6*L6+K9</f>
        <v>81186.087249999997</v>
      </c>
      <c r="I9" s="11">
        <f>64950*K6*L6+K9</f>
        <v>73570.962500000009</v>
      </c>
      <c r="J9" s="12"/>
      <c r="K9" s="114">
        <v>5000</v>
      </c>
      <c r="L9" s="114">
        <v>1000</v>
      </c>
      <c r="M9" s="114">
        <v>1000</v>
      </c>
    </row>
    <row r="10" spans="1:13" x14ac:dyDescent="0.25">
      <c r="A10" s="1">
        <v>4</v>
      </c>
      <c r="B10" s="115">
        <f>D10+10000</f>
        <v>147451.22774999999</v>
      </c>
      <c r="C10" s="115">
        <f>D10+5000</f>
        <v>142451.22774999999</v>
      </c>
      <c r="D10" s="11">
        <f>125457*K6*L6+K9</f>
        <v>137451.22774999999</v>
      </c>
      <c r="E10" s="11">
        <f>110248*K6*L6+K9</f>
        <v>121394.326</v>
      </c>
      <c r="F10" s="11">
        <f>98843*K6*L6+K9</f>
        <v>109353.49725</v>
      </c>
      <c r="G10" s="11">
        <f>87435*K6*L6+K9</f>
        <v>97309.501249999987</v>
      </c>
      <c r="H10" s="11">
        <f>76034*K6*L6+K9</f>
        <v>85272.895499999999</v>
      </c>
      <c r="I10" s="11">
        <f>68427*K6*L6+K9</f>
        <v>77241.80524999999</v>
      </c>
      <c r="J10" s="12"/>
    </row>
    <row r="12" spans="1:13" x14ac:dyDescent="0.25">
      <c r="A12" s="199" t="s">
        <v>79</v>
      </c>
      <c r="B12" s="199"/>
      <c r="C12" s="199"/>
      <c r="D12" s="199"/>
      <c r="E12" s="199"/>
      <c r="F12" s="199"/>
      <c r="G12" s="199"/>
      <c r="H12" s="199"/>
      <c r="I12" s="199"/>
      <c r="J12" s="199"/>
      <c r="K12" s="199"/>
      <c r="L12" s="199"/>
      <c r="M12" s="199"/>
    </row>
    <row r="13" spans="1:13" x14ac:dyDescent="0.25">
      <c r="K13" s="112"/>
      <c r="L13" s="112"/>
      <c r="M13" s="112"/>
    </row>
    <row r="14" spans="1:13" x14ac:dyDescent="0.25">
      <c r="A14" s="1" t="s">
        <v>70</v>
      </c>
      <c r="B14" s="1" t="s">
        <v>71</v>
      </c>
      <c r="C14" s="1" t="s">
        <v>72</v>
      </c>
      <c r="D14" s="1" t="s">
        <v>73</v>
      </c>
      <c r="E14" s="1" t="s">
        <v>74</v>
      </c>
      <c r="F14" s="1" t="s">
        <v>75</v>
      </c>
      <c r="G14" s="1" t="s">
        <v>76</v>
      </c>
      <c r="H14" s="1" t="s">
        <v>77</v>
      </c>
      <c r="I14" s="1" t="s">
        <v>78</v>
      </c>
      <c r="J14" s="1"/>
    </row>
    <row r="15" spans="1:13" x14ac:dyDescent="0.25">
      <c r="A15" s="1">
        <v>1</v>
      </c>
      <c r="B15" s="115">
        <f>D17</f>
        <v>135739.85700000002</v>
      </c>
      <c r="C15" s="115">
        <f>D16</f>
        <v>128736.01149999999</v>
      </c>
      <c r="D15" s="11">
        <f>108267*K6*L6+K9</f>
        <v>119302.88524999999</v>
      </c>
      <c r="E15" s="11">
        <v>105449</v>
      </c>
      <c r="F15" s="11">
        <f>85302*K6*L6+K9</f>
        <v>95057.58649999999</v>
      </c>
      <c r="G15" s="11">
        <v>84663</v>
      </c>
      <c r="H15" s="11">
        <f>65615*K6*L6+K9</f>
        <v>74273.036250000005</v>
      </c>
      <c r="I15" s="11">
        <f>59055*K6*L6+K9</f>
        <v>67347.316250000003</v>
      </c>
      <c r="J15" s="12"/>
    </row>
    <row r="16" spans="1:13" x14ac:dyDescent="0.25">
      <c r="A16" s="1">
        <v>2</v>
      </c>
      <c r="B16" s="115">
        <f>D18</f>
        <v>142747.92549999998</v>
      </c>
      <c r="C16" s="115">
        <f>D17</f>
        <v>135739.85700000002</v>
      </c>
      <c r="D16" s="11">
        <f>117202*K6*L6+K9</f>
        <v>128736.01149999999</v>
      </c>
      <c r="E16" s="11">
        <f>102998*K6*L6+K9</f>
        <v>113740.1385</v>
      </c>
      <c r="F16" s="11">
        <v>102493</v>
      </c>
      <c r="G16" s="11">
        <f>81687*K6*L6+K9</f>
        <v>91241.050249999986</v>
      </c>
      <c r="H16" s="11">
        <f>71033*K6*L6+K9</f>
        <v>79993.089749999999</v>
      </c>
      <c r="I16" s="11">
        <f>63929*K6*L6+K9</f>
        <v>72493.041749999989</v>
      </c>
      <c r="J16" s="12"/>
    </row>
    <row r="17" spans="1:13" x14ac:dyDescent="0.25">
      <c r="A17" s="1">
        <v>3</v>
      </c>
      <c r="B17" s="115">
        <f>D18+5000</f>
        <v>147747.92549999998</v>
      </c>
      <c r="C17" s="115">
        <f>D18</f>
        <v>142747.92549999998</v>
      </c>
      <c r="D17" s="11">
        <f>123836*K6*L6+K9</f>
        <v>135739.85700000002</v>
      </c>
      <c r="E17" s="11">
        <f>108825*K6*L6+K9</f>
        <v>119891.99374999999</v>
      </c>
      <c r="F17" s="11">
        <f>97568*K6*L6+K9</f>
        <v>108007.416</v>
      </c>
      <c r="G17" s="11">
        <f>86311*K6*L6+K9</f>
        <v>96122.838250000001</v>
      </c>
      <c r="H17" s="11">
        <f>75050*K6*L6+K9</f>
        <v>84234.037500000006</v>
      </c>
      <c r="I17" s="11">
        <f>67547*K6*L6+K9</f>
        <v>76312.745249999993</v>
      </c>
      <c r="J17" s="12"/>
    </row>
    <row r="18" spans="1:13" x14ac:dyDescent="0.25">
      <c r="A18" s="1">
        <v>4</v>
      </c>
      <c r="B18" s="115">
        <f>D18+10000</f>
        <v>152747.92549999998</v>
      </c>
      <c r="C18" s="115">
        <f>D18+5000</f>
        <v>147747.92549999998</v>
      </c>
      <c r="D18" s="11">
        <f>130474*K6*L6+K9</f>
        <v>142747.92549999998</v>
      </c>
      <c r="E18" s="11">
        <f>114658*K6*L6+K9</f>
        <v>126050.18349999998</v>
      </c>
      <c r="F18" s="11">
        <f>102796*K6*L6+K9</f>
        <v>113526.87699999999</v>
      </c>
      <c r="G18" s="11">
        <f>90932*K6*L6+K9</f>
        <v>101001.45899999999</v>
      </c>
      <c r="H18" s="11">
        <f>79077*K6*L6+K9</f>
        <v>88485.542749999993</v>
      </c>
      <c r="I18" s="11">
        <f>71165*K6*L6+K9</f>
        <v>80132.448749999996</v>
      </c>
      <c r="J18" s="12"/>
    </row>
    <row r="20" spans="1:13" x14ac:dyDescent="0.25">
      <c r="A20" s="200" t="s">
        <v>80</v>
      </c>
      <c r="B20" s="200"/>
      <c r="C20" s="200"/>
      <c r="D20" s="200"/>
      <c r="E20" s="200"/>
      <c r="F20" s="200"/>
      <c r="G20" s="200"/>
      <c r="H20" s="200"/>
      <c r="I20" s="200"/>
      <c r="J20" s="200"/>
      <c r="K20" s="200"/>
      <c r="L20" s="200"/>
      <c r="M20" s="200"/>
    </row>
    <row r="21" spans="1:13" x14ac:dyDescent="0.25">
      <c r="A21" s="199" t="s">
        <v>69</v>
      </c>
      <c r="B21" s="199"/>
      <c r="C21" s="199"/>
      <c r="D21" s="199"/>
      <c r="E21" s="199"/>
      <c r="F21" s="199"/>
      <c r="G21" s="199"/>
      <c r="H21" s="199"/>
      <c r="I21" s="199"/>
      <c r="J21" s="199"/>
      <c r="K21" s="199"/>
      <c r="L21" s="199"/>
      <c r="M21" s="199"/>
    </row>
    <row r="22" spans="1:13" x14ac:dyDescent="0.25">
      <c r="A22" s="1"/>
      <c r="B22" s="1"/>
      <c r="C22" s="1"/>
      <c r="D22" s="1"/>
      <c r="E22" s="1"/>
      <c r="F22" s="1"/>
      <c r="G22" s="1"/>
      <c r="H22" s="1"/>
      <c r="I22" s="1"/>
      <c r="J22" s="1"/>
    </row>
    <row r="23" spans="1:13" x14ac:dyDescent="0.25">
      <c r="A23" s="1" t="s">
        <v>80</v>
      </c>
      <c r="B23" s="1" t="s">
        <v>71</v>
      </c>
      <c r="C23" s="1" t="s">
        <v>72</v>
      </c>
      <c r="D23" s="1" t="s">
        <v>73</v>
      </c>
      <c r="E23" s="1" t="s">
        <v>74</v>
      </c>
      <c r="F23" s="1" t="s">
        <v>75</v>
      </c>
      <c r="G23" s="1" t="s">
        <v>76</v>
      </c>
      <c r="H23" s="1" t="s">
        <v>77</v>
      </c>
      <c r="I23" s="1" t="s">
        <v>78</v>
      </c>
      <c r="J23" s="1"/>
      <c r="K23" s="112" t="s">
        <v>146</v>
      </c>
      <c r="L23" s="112" t="s">
        <v>147</v>
      </c>
      <c r="M23" s="112" t="s">
        <v>148</v>
      </c>
    </row>
    <row r="24" spans="1:13" x14ac:dyDescent="0.25">
      <c r="A24" s="1">
        <v>1</v>
      </c>
      <c r="B24" s="115">
        <f>D26</f>
        <v>144141.51549999998</v>
      </c>
      <c r="C24" s="115">
        <f>D25</f>
        <v>137451.22774999999</v>
      </c>
      <c r="D24" s="11">
        <f>130713</f>
        <v>130713</v>
      </c>
      <c r="E24" s="11">
        <f>104641*K6*L6+K24</f>
        <v>115474.73574999999</v>
      </c>
      <c r="F24" s="11">
        <f>93815*K6*L6+K24</f>
        <v>104045.18624999998</v>
      </c>
      <c r="G24" s="11">
        <f>82991*K6*L6+K24</f>
        <v>92617.74824999999</v>
      </c>
      <c r="H24" s="11">
        <f>72163*K6*L6+K24</f>
        <v>81186.087249999997</v>
      </c>
      <c r="I24" s="11">
        <f>72163*K6*L6+K24</f>
        <v>81186.087249999997</v>
      </c>
      <c r="J24" s="1"/>
      <c r="K24" s="114">
        <v>5000</v>
      </c>
      <c r="L24" s="114">
        <v>2500</v>
      </c>
      <c r="M24" s="114">
        <v>2500</v>
      </c>
    </row>
    <row r="25" spans="1:13" x14ac:dyDescent="0.25">
      <c r="A25" s="1">
        <v>2</v>
      </c>
      <c r="B25" s="115">
        <f t="shared" ref="B25:B30" si="0">D27</f>
        <v>150870.86599999998</v>
      </c>
      <c r="C25" s="115">
        <f t="shared" ref="C25:C32" si="1">D26</f>
        <v>144141.51549999998</v>
      </c>
      <c r="D25" s="11">
        <f>125457*K6*L6+K24</f>
        <v>137451.22774999999</v>
      </c>
      <c r="E25" s="11">
        <f>110248*K6*L6+K24</f>
        <v>121394.326</v>
      </c>
      <c r="F25" s="11">
        <f>98843*K6*L6+K24</f>
        <v>109353.49725</v>
      </c>
      <c r="G25" s="11">
        <f>87435*K6*L6+K24</f>
        <v>97309.501249999987</v>
      </c>
      <c r="H25" s="11">
        <f>76034*K6*L6+K24</f>
        <v>85272.895499999999</v>
      </c>
      <c r="I25" s="11">
        <f>76034*K6*L6+K24</f>
        <v>85272.895499999999</v>
      </c>
      <c r="J25" s="1"/>
    </row>
    <row r="26" spans="1:13" x14ac:dyDescent="0.25">
      <c r="A26" s="1">
        <v>3</v>
      </c>
      <c r="B26" s="115">
        <f t="shared" si="0"/>
        <v>157609.71825000001</v>
      </c>
      <c r="C26" s="115">
        <f t="shared" si="1"/>
        <v>150870.86599999998</v>
      </c>
      <c r="D26" s="11">
        <f>131794*K6*L6+K24</f>
        <v>144141.51549999998</v>
      </c>
      <c r="E26" s="11">
        <f>115820*K6*L6+K24</f>
        <v>127276.96499999998</v>
      </c>
      <c r="F26" s="11">
        <f>103838*K6*L6+K24</f>
        <v>114626.9685</v>
      </c>
      <c r="G26" s="11">
        <f>91855*K6*L6+K24</f>
        <v>101975.91624999999</v>
      </c>
      <c r="H26" s="11">
        <f>79874*K6*L6+K24</f>
        <v>89326.9755</v>
      </c>
      <c r="I26" s="11">
        <f>79874*K6*L6+K24</f>
        <v>89326.9755</v>
      </c>
      <c r="J26" s="1"/>
    </row>
    <row r="27" spans="1:13" x14ac:dyDescent="0.25">
      <c r="A27" s="1">
        <v>4</v>
      </c>
      <c r="B27" s="115">
        <f t="shared" si="0"/>
        <v>164341.18025</v>
      </c>
      <c r="C27" s="115">
        <f t="shared" si="1"/>
        <v>157609.71825000001</v>
      </c>
      <c r="D27" s="11">
        <f>138168*K6*L6+K24</f>
        <v>150870.86599999998</v>
      </c>
      <c r="E27" s="11">
        <v>133191</v>
      </c>
      <c r="F27" s="11">
        <f>108860*K6*L6+K24</f>
        <v>119928.94499999999</v>
      </c>
      <c r="G27" s="11">
        <v>106683</v>
      </c>
      <c r="H27" s="11">
        <f>83740*K6*L6+K24</f>
        <v>93408.50499999999</v>
      </c>
      <c r="I27" s="11">
        <f>83740*K6*L6+K24</f>
        <v>93408.50499999999</v>
      </c>
      <c r="J27" s="1"/>
    </row>
    <row r="28" spans="1:13" x14ac:dyDescent="0.25">
      <c r="A28" s="1">
        <v>5</v>
      </c>
      <c r="B28" s="115">
        <f t="shared" si="0"/>
        <v>171073.69799999997</v>
      </c>
      <c r="C28" s="115">
        <f t="shared" si="1"/>
        <v>164341.18025</v>
      </c>
      <c r="D28" s="11">
        <f>144551*K6*L6+K24</f>
        <v>157609.71825000001</v>
      </c>
      <c r="E28" s="11">
        <f>127028*K6*L6+K24</f>
        <v>139109.81099999999</v>
      </c>
      <c r="F28" s="11">
        <f>113887*K6*L6+K24</f>
        <v>125236.20024999999</v>
      </c>
      <c r="G28" s="11">
        <f>100747*K6*L6+K24</f>
        <v>111363.64524999999</v>
      </c>
      <c r="H28" s="11">
        <f>87568*K6*L6+K24</f>
        <v>97449.915999999997</v>
      </c>
      <c r="I28" s="11">
        <f>87568*K6*L6+K24</f>
        <v>97449.915999999997</v>
      </c>
      <c r="J28" s="1"/>
    </row>
    <row r="29" spans="1:13" x14ac:dyDescent="0.25">
      <c r="A29" s="1">
        <v>6</v>
      </c>
      <c r="B29" s="115">
        <f t="shared" si="0"/>
        <v>178047.98250000001</v>
      </c>
      <c r="C29" s="115">
        <f t="shared" si="1"/>
        <v>171073.69799999997</v>
      </c>
      <c r="D29" s="11">
        <f>150927*K6*L6+K24</f>
        <v>164341.18025</v>
      </c>
      <c r="E29" s="11">
        <v>145029</v>
      </c>
      <c r="F29" s="11">
        <f>118910*K6*L6+K24</f>
        <v>130539.23249999998</v>
      </c>
      <c r="G29" s="11">
        <f>105194*K6*L6+K24</f>
        <v>116058.5655</v>
      </c>
      <c r="H29" s="11">
        <f>105194*K6*L6+K24</f>
        <v>116058.5655</v>
      </c>
      <c r="I29" s="11">
        <f>105194*K6*L6+K24</f>
        <v>116058.5655</v>
      </c>
      <c r="J29" s="1"/>
    </row>
    <row r="30" spans="1:13" x14ac:dyDescent="0.25">
      <c r="A30" s="1">
        <v>7</v>
      </c>
      <c r="B30" s="115">
        <f t="shared" si="0"/>
        <v>185315.76549999998</v>
      </c>
      <c r="C30" s="115">
        <f t="shared" si="1"/>
        <v>178047.98250000001</v>
      </c>
      <c r="D30" s="11">
        <f>157304*K6*L6+K24</f>
        <v>171073.69799999997</v>
      </c>
      <c r="E30" s="11">
        <f>138239*K6*L6+K24</f>
        <v>150945.82424999998</v>
      </c>
      <c r="F30" s="11">
        <v>135847</v>
      </c>
      <c r="G30" s="11">
        <f>109640*K6*L6+K24</f>
        <v>120752.43</v>
      </c>
      <c r="H30" s="11">
        <f>109640*K6*L6+K24</f>
        <v>120752.43</v>
      </c>
      <c r="I30" s="11">
        <f>109640*K6*L6+K24</f>
        <v>120752.43</v>
      </c>
      <c r="J30" s="1"/>
    </row>
    <row r="31" spans="1:13" x14ac:dyDescent="0.25">
      <c r="A31" s="1">
        <v>8</v>
      </c>
      <c r="B31" s="115">
        <f>177968*K6*L6+K24</f>
        <v>192889.71599999999</v>
      </c>
      <c r="C31" s="115">
        <f t="shared" si="1"/>
        <v>185315.76549999998</v>
      </c>
      <c r="D31" s="11">
        <f>163910*K6*L6+K24</f>
        <v>178047.98250000001</v>
      </c>
      <c r="E31" s="11">
        <v>157075</v>
      </c>
      <c r="F31" s="11">
        <f>129143*K6*L6+K24</f>
        <v>141342.72224999999</v>
      </c>
      <c r="G31" s="11">
        <f>114243*K6*L6+K24</f>
        <v>125612.04725</v>
      </c>
      <c r="H31" s="11">
        <f>114243*K6*L6+K24</f>
        <v>125612.04725</v>
      </c>
      <c r="I31" s="11">
        <f>114243*K6*L6+K24</f>
        <v>125612.04725</v>
      </c>
      <c r="J31" s="1"/>
    </row>
    <row r="32" spans="1:13" x14ac:dyDescent="0.25">
      <c r="A32" s="1">
        <v>9</v>
      </c>
      <c r="B32" s="115">
        <f>B31</f>
        <v>192889.71599999999</v>
      </c>
      <c r="C32" s="115">
        <f t="shared" si="1"/>
        <v>192889.71599999999</v>
      </c>
      <c r="D32" s="11">
        <f>170794*K6*L6+K24</f>
        <v>185315.76549999998</v>
      </c>
      <c r="E32" s="11">
        <v>163462</v>
      </c>
      <c r="F32" s="11">
        <f>134567*K6*L6+K24</f>
        <v>147069.11025</v>
      </c>
      <c r="G32" s="11">
        <f>119044*K6*L6+K24</f>
        <v>130680.70299999999</v>
      </c>
      <c r="H32" s="11">
        <f>119044*K6*L6+K24</f>
        <v>130680.70299999999</v>
      </c>
      <c r="I32" s="11">
        <f>119044*K6*L6+K24</f>
        <v>130680.70299999999</v>
      </c>
      <c r="J32" s="1"/>
    </row>
    <row r="33" spans="1:13" x14ac:dyDescent="0.25">
      <c r="A33" s="1">
        <v>10</v>
      </c>
      <c r="B33" s="115">
        <f>B32</f>
        <v>192889.71599999999</v>
      </c>
      <c r="C33" s="115">
        <f>C32</f>
        <v>192889.71599999999</v>
      </c>
      <c r="D33" s="11">
        <f>177968*K6*L6+K24</f>
        <v>192889.71599999999</v>
      </c>
      <c r="E33" s="11">
        <f>156398*K6*L6+K24</f>
        <v>170117.18849999999</v>
      </c>
      <c r="F33" s="11">
        <f>140217*K6*L6+K24</f>
        <v>153034.09774999999</v>
      </c>
      <c r="G33" s="11">
        <f>124043*K6*L6+K24</f>
        <v>135958.39724999998</v>
      </c>
      <c r="H33" s="11">
        <f>124043*K6*L6+K24</f>
        <v>135958.39724999998</v>
      </c>
      <c r="I33" s="11">
        <f>124043*K6*L6+K24</f>
        <v>135958.39724999998</v>
      </c>
      <c r="J33" s="1"/>
    </row>
    <row r="34" spans="1:13" x14ac:dyDescent="0.25">
      <c r="A34" s="1"/>
      <c r="B34" s="1"/>
      <c r="C34" s="1"/>
      <c r="D34" s="1"/>
      <c r="E34" s="1"/>
      <c r="F34" s="1"/>
      <c r="G34" s="1"/>
      <c r="H34" s="1"/>
      <c r="I34" s="1"/>
      <c r="J34" s="1"/>
    </row>
    <row r="35" spans="1:13" x14ac:dyDescent="0.25">
      <c r="A35" s="200" t="s">
        <v>80</v>
      </c>
      <c r="B35" s="200"/>
      <c r="C35" s="200"/>
      <c r="D35" s="200"/>
      <c r="E35" s="200"/>
      <c r="F35" s="200"/>
      <c r="G35" s="200"/>
      <c r="H35" s="200"/>
      <c r="I35" s="200"/>
      <c r="J35" s="200"/>
      <c r="K35" s="200"/>
      <c r="L35" s="200"/>
      <c r="M35" s="200"/>
    </row>
    <row r="36" spans="1:13" x14ac:dyDescent="0.25">
      <c r="A36" s="199" t="s">
        <v>79</v>
      </c>
      <c r="B36" s="199"/>
      <c r="C36" s="199"/>
      <c r="D36" s="199"/>
      <c r="E36" s="199"/>
      <c r="F36" s="199"/>
      <c r="G36" s="199"/>
      <c r="H36" s="199"/>
      <c r="I36" s="199"/>
      <c r="J36" s="199"/>
      <c r="K36" s="199"/>
      <c r="L36" s="199"/>
      <c r="M36" s="199"/>
    </row>
    <row r="37" spans="1:13" x14ac:dyDescent="0.25">
      <c r="A37" s="1"/>
      <c r="B37" s="1"/>
      <c r="C37" s="1"/>
      <c r="D37" s="1"/>
      <c r="E37" s="1"/>
      <c r="F37" s="1"/>
      <c r="G37" s="1"/>
      <c r="H37" s="1"/>
      <c r="I37" s="1"/>
      <c r="J37" s="1"/>
    </row>
    <row r="38" spans="1:13" x14ac:dyDescent="0.25">
      <c r="A38" s="1" t="s">
        <v>80</v>
      </c>
      <c r="B38" s="1" t="s">
        <v>71</v>
      </c>
      <c r="C38" s="1" t="s">
        <v>72</v>
      </c>
      <c r="D38" s="1" t="s">
        <v>73</v>
      </c>
      <c r="E38" s="1" t="s">
        <v>74</v>
      </c>
      <c r="F38" s="1" t="s">
        <v>75</v>
      </c>
      <c r="G38" s="1" t="s">
        <v>76</v>
      </c>
      <c r="H38" s="1" t="s">
        <v>77</v>
      </c>
      <c r="I38" s="1" t="s">
        <v>78</v>
      </c>
      <c r="J38" s="1"/>
      <c r="K38" s="112" t="s">
        <v>146</v>
      </c>
      <c r="L38" s="112" t="s">
        <v>147</v>
      </c>
      <c r="M38" s="112" t="s">
        <v>148</v>
      </c>
    </row>
    <row r="39" spans="1:13" x14ac:dyDescent="0.25">
      <c r="A39" s="1">
        <v>1</v>
      </c>
      <c r="B39" s="115">
        <f>D41</f>
        <v>149707.4295</v>
      </c>
      <c r="C39" s="115">
        <f>D40</f>
        <v>142747.92549999998</v>
      </c>
      <c r="D39" s="11">
        <f>123837*K6*L6+K39</f>
        <v>135740.91274999999</v>
      </c>
      <c r="E39" s="110">
        <f>108825*K6*L6+K39</f>
        <v>119891.99374999999</v>
      </c>
      <c r="F39" s="11">
        <f>97568*K6*L6+K39</f>
        <v>108007.416</v>
      </c>
      <c r="G39" s="110">
        <f>86311*K6*L6+K39</f>
        <v>96122.838250000001</v>
      </c>
      <c r="H39" s="11">
        <f>75050*K6*L6+K39</f>
        <v>84234.037500000006</v>
      </c>
      <c r="I39" s="11">
        <f>75050*K6*L6+K39</f>
        <v>84234.037500000006</v>
      </c>
      <c r="J39" s="1"/>
      <c r="K39" s="114">
        <v>5000</v>
      </c>
      <c r="L39" s="114">
        <v>2500</v>
      </c>
      <c r="M39" s="114">
        <v>2500</v>
      </c>
    </row>
    <row r="40" spans="1:13" x14ac:dyDescent="0.25">
      <c r="A40" s="1">
        <v>2</v>
      </c>
      <c r="B40" s="115">
        <f t="shared" ref="B40:B45" si="2">D42</f>
        <v>156704.94049999997</v>
      </c>
      <c r="C40" s="115">
        <f t="shared" ref="C40:C47" si="3">D41</f>
        <v>149707.4295</v>
      </c>
      <c r="D40" s="11">
        <f>130474*K6*L6+K39</f>
        <v>142747.92549999998</v>
      </c>
      <c r="E40" s="11">
        <f>114658*K6*L6+K39</f>
        <v>126050.18349999998</v>
      </c>
      <c r="F40" s="11">
        <f>102797*K6*L6+K39</f>
        <v>113527.93274999999</v>
      </c>
      <c r="G40" s="11">
        <f>90932*K6*L6+K39</f>
        <v>101001.45899999999</v>
      </c>
      <c r="H40" s="11">
        <f>79077*K6*L6+K39</f>
        <v>88485.542749999993</v>
      </c>
      <c r="I40" s="11">
        <f>79077*K6*L6+K39</f>
        <v>88485.542749999993</v>
      </c>
      <c r="J40" s="1"/>
    </row>
    <row r="41" spans="1:13" x14ac:dyDescent="0.25">
      <c r="A41" s="1">
        <v>3</v>
      </c>
      <c r="B41" s="115">
        <f t="shared" si="2"/>
        <v>163715.12049999999</v>
      </c>
      <c r="C41" s="115">
        <f t="shared" si="3"/>
        <v>156704.94049999997</v>
      </c>
      <c r="D41" s="11">
        <f>137066*K6*L6+K39</f>
        <v>149707.4295</v>
      </c>
      <c r="E41" s="11">
        <f>120452*K6*L6+K39</f>
        <v>132167.19899999999</v>
      </c>
      <c r="F41" s="11">
        <f>107992*K6*L6+K39</f>
        <v>119012.55399999999</v>
      </c>
      <c r="G41" s="11">
        <f>95531*K6*L6+K39</f>
        <v>105856.85325</v>
      </c>
      <c r="H41" s="110">
        <f>83071*K6*L6+K39</f>
        <v>92702.208249999996</v>
      </c>
      <c r="I41" s="11">
        <f>83071*K6*L6+K39</f>
        <v>92702.208249999996</v>
      </c>
      <c r="J41" s="1"/>
    </row>
    <row r="42" spans="1:13" x14ac:dyDescent="0.25">
      <c r="A42" s="1">
        <v>4</v>
      </c>
      <c r="B42" s="115">
        <f t="shared" si="2"/>
        <v>170715.79875000002</v>
      </c>
      <c r="C42" s="115">
        <f t="shared" si="3"/>
        <v>163715.12049999999</v>
      </c>
      <c r="D42" s="11">
        <f>143694*K6*L6+K39</f>
        <v>156704.94049999997</v>
      </c>
      <c r="E42" s="11">
        <f>126277*K6*L6+K39</f>
        <v>138316.94274999999</v>
      </c>
      <c r="F42" s="11">
        <v>124525</v>
      </c>
      <c r="G42" s="11">
        <f>100165*K6*L6+K39</f>
        <v>110749.19874999998</v>
      </c>
      <c r="H42" s="11">
        <f>87088*K6*L6+K39</f>
        <v>96943.156000000003</v>
      </c>
      <c r="I42" s="11">
        <f>87088*K6*L6+K39</f>
        <v>96943.156000000003</v>
      </c>
      <c r="J42" s="1"/>
    </row>
    <row r="43" spans="1:13" x14ac:dyDescent="0.25">
      <c r="A43" s="1">
        <v>5</v>
      </c>
      <c r="B43" s="115">
        <f t="shared" si="2"/>
        <v>177717.53274999998</v>
      </c>
      <c r="C43" s="115">
        <f t="shared" si="3"/>
        <v>170715.79875000002</v>
      </c>
      <c r="D43" s="11">
        <f>150334*K6*L6+K39</f>
        <v>163715.12049999999</v>
      </c>
      <c r="E43" s="11">
        <f>132108*K6*L6+K39</f>
        <v>144473.02099999998</v>
      </c>
      <c r="F43" s="11">
        <f>118441*K6*L6+K39</f>
        <v>130044.08575</v>
      </c>
      <c r="G43" s="11">
        <f>104775*K6*L6+K39</f>
        <v>115616.20624999999</v>
      </c>
      <c r="H43" s="11">
        <f>91071*K6*L6+K39</f>
        <v>101148.20825</v>
      </c>
      <c r="I43" s="11">
        <f>91071*K6*L6+K39</f>
        <v>101148.20825</v>
      </c>
      <c r="J43" s="1"/>
    </row>
    <row r="44" spans="1:13" x14ac:dyDescent="0.25">
      <c r="A44" s="1">
        <v>6</v>
      </c>
      <c r="B44" s="115">
        <f t="shared" si="2"/>
        <v>184970</v>
      </c>
      <c r="C44" s="115">
        <f t="shared" si="3"/>
        <v>177717.53274999998</v>
      </c>
      <c r="D44" s="11">
        <f>156965*K6*L6+K39</f>
        <v>170715.79875000002</v>
      </c>
      <c r="E44" s="11">
        <f>137939*K6*L6+K39</f>
        <v>150629.09924999997</v>
      </c>
      <c r="F44" s="11">
        <v>135562</v>
      </c>
      <c r="G44" s="11">
        <f>109402*K6*L6+K39</f>
        <v>120501.16149999999</v>
      </c>
      <c r="H44" s="11">
        <f>109402*K6*L6+K39</f>
        <v>120501.16149999999</v>
      </c>
      <c r="I44" s="11">
        <f>109402*K6*L6+K39</f>
        <v>120501.16149999999</v>
      </c>
      <c r="J44" s="1"/>
    </row>
    <row r="45" spans="1:13" x14ac:dyDescent="0.25">
      <c r="A45" s="1">
        <v>7</v>
      </c>
      <c r="B45" s="115">
        <f t="shared" si="2"/>
        <v>192528.6495</v>
      </c>
      <c r="C45" s="115">
        <f t="shared" si="3"/>
        <v>184970</v>
      </c>
      <c r="D45" s="11">
        <f>163597*K6*L6+K39</f>
        <v>177717.53274999998</v>
      </c>
      <c r="E45" s="11">
        <f>143767*K6*L6+K39</f>
        <v>156782.01024999999</v>
      </c>
      <c r="F45" s="11">
        <v>141079</v>
      </c>
      <c r="G45" s="11">
        <f>114026*K6*L6+K39</f>
        <v>125382.9495</v>
      </c>
      <c r="H45" s="11">
        <f>114026*K6*L6+K39</f>
        <v>125382.9495</v>
      </c>
      <c r="I45" s="11">
        <f>114026*K6*L6+K39</f>
        <v>125382.9495</v>
      </c>
      <c r="J45" s="1"/>
    </row>
    <row r="46" spans="1:13" x14ac:dyDescent="0.25">
      <c r="A46" s="1">
        <v>8</v>
      </c>
      <c r="B46" s="115">
        <f>D48</f>
        <v>200404</v>
      </c>
      <c r="C46" s="115">
        <f t="shared" si="3"/>
        <v>192528.6495</v>
      </c>
      <c r="D46" s="11">
        <v>184970</v>
      </c>
      <c r="E46" s="11">
        <f>149807*K6*L6+K39</f>
        <v>163158.74025</v>
      </c>
      <c r="F46" s="11">
        <f>134307*K6*L6+K39</f>
        <v>146794.61525</v>
      </c>
      <c r="G46" s="11">
        <f>118815*K6*L6+K39</f>
        <v>130438.93624999998</v>
      </c>
      <c r="H46" s="11">
        <f>118815*K6*L6+K39</f>
        <v>130438.93624999998</v>
      </c>
      <c r="I46" s="11">
        <f>118815*K6*L6+K39</f>
        <v>130438.93624999998</v>
      </c>
      <c r="J46" s="1"/>
    </row>
    <row r="47" spans="1:13" x14ac:dyDescent="0.25">
      <c r="A47" s="1">
        <v>9</v>
      </c>
      <c r="B47" s="115">
        <f>B46</f>
        <v>200404</v>
      </c>
      <c r="C47" s="115">
        <f t="shared" si="3"/>
        <v>200404</v>
      </c>
      <c r="D47" s="11">
        <f>177626*K6*L6+K39</f>
        <v>192528.6495</v>
      </c>
      <c r="E47" s="11">
        <f>156097*K6*L6+K39</f>
        <v>169799.40774999998</v>
      </c>
      <c r="F47" s="11">
        <f>139947*K6*L6+K39</f>
        <v>152749.04525</v>
      </c>
      <c r="G47" s="11">
        <f>123804*K6*L6+K39</f>
        <v>135706.07299999997</v>
      </c>
      <c r="H47" s="11">
        <f>123804*K6*L6+K39</f>
        <v>135706.07299999997</v>
      </c>
      <c r="I47" s="11">
        <f>123804*K6*L6+K39</f>
        <v>135706.07299999997</v>
      </c>
      <c r="J47" s="1"/>
    </row>
    <row r="48" spans="1:13" x14ac:dyDescent="0.25">
      <c r="A48" s="1">
        <v>10</v>
      </c>
      <c r="B48" s="115">
        <f>B47</f>
        <v>200404</v>
      </c>
      <c r="C48" s="115">
        <f>D48</f>
        <v>200404</v>
      </c>
      <c r="D48" s="11">
        <v>200404</v>
      </c>
      <c r="E48" s="11">
        <f>162654*K6*L6+K39</f>
        <v>176721.96049999999</v>
      </c>
      <c r="F48" s="11">
        <f>145825*K6*L6+K39</f>
        <v>158954.74374999999</v>
      </c>
      <c r="G48" s="11">
        <f>129004*K6*L6+K39</f>
        <v>141195.97299999997</v>
      </c>
      <c r="H48" s="11">
        <f>129004*K6*L6+K39</f>
        <v>141195.97299999997</v>
      </c>
      <c r="I48" s="11">
        <f>129004*K6*L6+K39</f>
        <v>141195.97299999997</v>
      </c>
      <c r="J48" s="1"/>
    </row>
  </sheetData>
  <sheetProtection algorithmName="SHA-512" hashValue="Ntn+BGQ5hO6BgG8wqUqTOGDBnDb3wd28sOlNuVbnNuUfEuVwwy6QVwmxdky2MpIwbPwfEDE8KwIw0vWCiFTH3A==" saltValue="7JddGo6rwBmLnvWv2gcWlg==" spinCount="100000" sheet="1" objects="1" scenarios="1"/>
  <mergeCells count="8">
    <mergeCell ref="A21:M21"/>
    <mergeCell ref="A35:M35"/>
    <mergeCell ref="A36:M36"/>
    <mergeCell ref="A1:M1"/>
    <mergeCell ref="A3:M3"/>
    <mergeCell ref="A4:M4"/>
    <mergeCell ref="A12:M12"/>
    <mergeCell ref="A20:M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9"/>
  <sheetViews>
    <sheetView zoomScale="85" zoomScaleNormal="85" workbookViewId="0">
      <selection activeCell="H55" sqref="H55"/>
    </sheetView>
  </sheetViews>
  <sheetFormatPr defaultColWidth="9.140625" defaultRowHeight="15" x14ac:dyDescent="0.25"/>
  <cols>
    <col min="1" max="1" width="15.42578125" style="10" bestFit="1" customWidth="1"/>
    <col min="2" max="2" width="13.7109375" style="10" customWidth="1"/>
    <col min="3" max="3" width="8.42578125" style="10" bestFit="1" customWidth="1"/>
    <col min="4" max="4" width="15.42578125" style="10" bestFit="1" customWidth="1"/>
    <col min="5" max="5" width="11" style="10" bestFit="1" customWidth="1"/>
    <col min="6" max="6" width="11" style="10" customWidth="1"/>
    <col min="7" max="7" width="8.42578125" style="10" bestFit="1" customWidth="1"/>
    <col min="8" max="8" width="9.42578125" style="10" customWidth="1"/>
    <col min="9" max="9" width="11" style="10" customWidth="1"/>
    <col min="10" max="10" width="11" style="12" customWidth="1"/>
    <col min="11" max="11" width="12" style="10" customWidth="1"/>
    <col min="12" max="12" width="23.85546875" style="10" bestFit="1" customWidth="1"/>
    <col min="13" max="13" width="25" style="10" bestFit="1" customWidth="1"/>
    <col min="14" max="14" width="12" style="10" customWidth="1"/>
    <col min="15" max="15" width="15.85546875" style="10" bestFit="1" customWidth="1"/>
    <col min="16" max="17" width="12" style="10" customWidth="1"/>
    <col min="18" max="16384" width="9.140625" style="10"/>
  </cols>
  <sheetData>
    <row r="1" spans="1:14" x14ac:dyDescent="0.25">
      <c r="A1" s="201" t="s">
        <v>81</v>
      </c>
      <c r="B1" s="201"/>
      <c r="C1" s="201"/>
      <c r="D1" s="201"/>
      <c r="E1" s="201"/>
      <c r="F1" s="201"/>
      <c r="G1" s="201"/>
      <c r="H1" s="201"/>
      <c r="I1" s="201"/>
      <c r="J1" s="201"/>
      <c r="K1" s="201"/>
      <c r="L1" s="201"/>
      <c r="M1" s="201"/>
      <c r="N1" s="201"/>
    </row>
    <row r="2" spans="1:14" s="5" customFormat="1" x14ac:dyDescent="0.25">
      <c r="A2" s="9"/>
      <c r="B2" s="9"/>
      <c r="C2" s="9"/>
      <c r="D2" s="9"/>
      <c r="E2" s="9"/>
      <c r="F2" s="9"/>
      <c r="G2" s="9"/>
      <c r="H2" s="9"/>
      <c r="I2" s="9"/>
      <c r="J2" s="9"/>
      <c r="K2" s="9"/>
      <c r="L2" s="9"/>
      <c r="M2" s="9"/>
      <c r="N2" s="9"/>
    </row>
    <row r="3" spans="1:14" x14ac:dyDescent="0.25">
      <c r="A3" s="200" t="s">
        <v>68</v>
      </c>
      <c r="B3" s="200"/>
      <c r="C3" s="200"/>
      <c r="D3" s="200"/>
      <c r="E3" s="200"/>
      <c r="F3" s="200"/>
      <c r="G3" s="200"/>
      <c r="H3" s="200"/>
      <c r="I3" s="200"/>
      <c r="J3" s="200"/>
      <c r="K3" s="200"/>
      <c r="L3" s="200"/>
      <c r="M3" s="200"/>
      <c r="N3" s="200"/>
    </row>
    <row r="4" spans="1:14" x14ac:dyDescent="0.25">
      <c r="A4" s="199" t="s">
        <v>82</v>
      </c>
      <c r="B4" s="199"/>
      <c r="C4" s="199"/>
      <c r="D4" s="199"/>
      <c r="E4" s="199"/>
      <c r="F4" s="199"/>
      <c r="G4" s="199"/>
      <c r="H4" s="199"/>
      <c r="I4" s="199"/>
      <c r="J4" s="199"/>
      <c r="K4" s="199"/>
      <c r="L4" s="199"/>
      <c r="M4" s="199"/>
      <c r="N4" s="199"/>
    </row>
    <row r="5" spans="1:14" x14ac:dyDescent="0.25">
      <c r="K5" s="112" t="s">
        <v>151</v>
      </c>
      <c r="L5" s="112" t="s">
        <v>149</v>
      </c>
      <c r="M5" s="112" t="s">
        <v>150</v>
      </c>
    </row>
    <row r="6" spans="1:14" x14ac:dyDescent="0.25">
      <c r="A6" s="1" t="s">
        <v>70</v>
      </c>
      <c r="B6" s="12" t="s">
        <v>71</v>
      </c>
      <c r="C6" s="12" t="s">
        <v>72</v>
      </c>
      <c r="D6" s="1" t="s">
        <v>73</v>
      </c>
      <c r="E6" s="1" t="s">
        <v>74</v>
      </c>
      <c r="F6" s="1" t="s">
        <v>75</v>
      </c>
      <c r="G6" s="1" t="s">
        <v>76</v>
      </c>
      <c r="H6" s="1" t="s">
        <v>77</v>
      </c>
      <c r="I6" s="1" t="s">
        <v>78</v>
      </c>
      <c r="J6" s="1"/>
      <c r="K6" s="114" t="s">
        <v>73</v>
      </c>
      <c r="L6" s="120">
        <v>3700</v>
      </c>
      <c r="M6" s="120">
        <v>2500</v>
      </c>
      <c r="N6" s="12"/>
    </row>
    <row r="7" spans="1:14" x14ac:dyDescent="0.25">
      <c r="A7" s="1">
        <v>1</v>
      </c>
      <c r="B7" s="115">
        <f>D9</f>
        <v>135700</v>
      </c>
      <c r="C7" s="115">
        <f>D8</f>
        <v>129100</v>
      </c>
      <c r="D7" s="11">
        <f>116300+L6</f>
        <v>120000</v>
      </c>
      <c r="E7" s="11">
        <f>102900+L7</f>
        <v>106200</v>
      </c>
      <c r="F7" s="11">
        <f>92900+L8</f>
        <v>95800</v>
      </c>
      <c r="G7" s="11">
        <f>82900+L9</f>
        <v>85500</v>
      </c>
      <c r="H7" s="11">
        <f>72900+L10</f>
        <v>75200</v>
      </c>
      <c r="I7" s="11">
        <f>66300+L11</f>
        <v>68300</v>
      </c>
      <c r="J7" s="11"/>
      <c r="K7" s="114" t="s">
        <v>74</v>
      </c>
      <c r="L7" s="120">
        <v>3300</v>
      </c>
      <c r="M7" s="120">
        <v>2200</v>
      </c>
      <c r="N7" s="12"/>
    </row>
    <row r="8" spans="1:14" x14ac:dyDescent="0.25">
      <c r="A8" s="1">
        <v>2</v>
      </c>
      <c r="B8" s="115">
        <f>D10</f>
        <v>142400</v>
      </c>
      <c r="C8" s="115">
        <f t="shared" ref="C8" si="0">D9</f>
        <v>135700</v>
      </c>
      <c r="D8" s="11">
        <f>125400+L6</f>
        <v>129100</v>
      </c>
      <c r="E8" s="11">
        <f>110900+L7</f>
        <v>114200</v>
      </c>
      <c r="F8" s="11">
        <f>100100+L8</f>
        <v>103000</v>
      </c>
      <c r="G8" s="11">
        <f>89300+L9</f>
        <v>91900</v>
      </c>
      <c r="H8" s="11">
        <f>78500+L10</f>
        <v>80800</v>
      </c>
      <c r="I8" s="11">
        <f>71300+L11</f>
        <v>73300</v>
      </c>
      <c r="J8" s="11"/>
      <c r="K8" s="114" t="s">
        <v>75</v>
      </c>
      <c r="L8" s="120">
        <v>2900</v>
      </c>
      <c r="M8" s="120">
        <v>2000</v>
      </c>
      <c r="N8" s="12"/>
    </row>
    <row r="9" spans="1:14" x14ac:dyDescent="0.25">
      <c r="A9" s="1">
        <v>3</v>
      </c>
      <c r="B9" s="115">
        <f>D10+5300</f>
        <v>147700</v>
      </c>
      <c r="C9" s="115">
        <f>D10</f>
        <v>142400</v>
      </c>
      <c r="D9" s="11">
        <f>132000+L6</f>
        <v>135700</v>
      </c>
      <c r="E9" s="11">
        <f>116800+L7</f>
        <v>120100</v>
      </c>
      <c r="F9" s="11">
        <f>105400+L8</f>
        <v>108300</v>
      </c>
      <c r="G9" s="11">
        <f>93900+L9</f>
        <v>96500</v>
      </c>
      <c r="H9" s="11">
        <f>82500+L10</f>
        <v>84800</v>
      </c>
      <c r="I9" s="11">
        <f>74900+L11</f>
        <v>76900</v>
      </c>
      <c r="J9" s="11"/>
      <c r="K9" s="114" t="s">
        <v>76</v>
      </c>
      <c r="L9" s="120">
        <v>2600</v>
      </c>
      <c r="M9" s="120">
        <v>1700</v>
      </c>
      <c r="N9" s="12"/>
    </row>
    <row r="10" spans="1:14" x14ac:dyDescent="0.25">
      <c r="A10" s="1">
        <v>4</v>
      </c>
      <c r="B10" s="115">
        <f>D10+10600</f>
        <v>153000</v>
      </c>
      <c r="C10" s="115">
        <f>D10+5300</f>
        <v>147700</v>
      </c>
      <c r="D10" s="11">
        <f>138700+L6</f>
        <v>142400</v>
      </c>
      <c r="E10" s="11">
        <f>122800+L7</f>
        <v>126100</v>
      </c>
      <c r="F10" s="11">
        <f>110700+L8</f>
        <v>113600</v>
      </c>
      <c r="G10" s="11">
        <f>98700+L9</f>
        <v>101300</v>
      </c>
      <c r="H10" s="11">
        <f>86600+L10</f>
        <v>88900</v>
      </c>
      <c r="I10" s="11">
        <f>78600+L11</f>
        <v>80600</v>
      </c>
      <c r="J10" s="11"/>
      <c r="K10" s="114" t="s">
        <v>77</v>
      </c>
      <c r="L10" s="120">
        <v>2300</v>
      </c>
      <c r="M10" s="120">
        <v>1500</v>
      </c>
      <c r="N10" s="12"/>
    </row>
    <row r="11" spans="1:14" x14ac:dyDescent="0.25">
      <c r="K11" s="114" t="s">
        <v>78</v>
      </c>
      <c r="L11" s="120">
        <v>2000</v>
      </c>
      <c r="M11" s="120">
        <v>1400</v>
      </c>
    </row>
    <row r="12" spans="1:14" x14ac:dyDescent="0.25">
      <c r="A12" s="199" t="s">
        <v>83</v>
      </c>
      <c r="B12" s="199"/>
      <c r="C12" s="199"/>
      <c r="D12" s="199"/>
      <c r="E12" s="199"/>
      <c r="F12" s="199"/>
      <c r="G12" s="199"/>
      <c r="H12" s="199"/>
      <c r="I12" s="199"/>
      <c r="J12" s="199"/>
      <c r="K12" s="199"/>
      <c r="L12" s="199"/>
      <c r="M12" s="199"/>
      <c r="N12" s="199"/>
    </row>
    <row r="14" spans="1:14" x14ac:dyDescent="0.25">
      <c r="A14" s="1" t="s">
        <v>70</v>
      </c>
      <c r="B14" s="12" t="s">
        <v>71</v>
      </c>
      <c r="C14" s="12" t="s">
        <v>72</v>
      </c>
      <c r="D14" s="1" t="s">
        <v>73</v>
      </c>
      <c r="E14" s="1" t="s">
        <v>74</v>
      </c>
      <c r="F14" s="1" t="s">
        <v>75</v>
      </c>
      <c r="G14" s="1" t="s">
        <v>76</v>
      </c>
      <c r="H14" s="1" t="s">
        <v>77</v>
      </c>
      <c r="I14" s="1" t="s">
        <v>78</v>
      </c>
      <c r="J14" s="1"/>
      <c r="K14" s="1"/>
      <c r="L14" s="1"/>
      <c r="M14" s="12"/>
      <c r="N14" s="12"/>
    </row>
    <row r="15" spans="1:14" x14ac:dyDescent="0.25">
      <c r="A15" s="1">
        <v>1</v>
      </c>
      <c r="B15" s="115">
        <f>C16</f>
        <v>143300</v>
      </c>
      <c r="C15" s="115">
        <f>D16</f>
        <v>136300</v>
      </c>
      <c r="D15" s="11">
        <v>126800</v>
      </c>
      <c r="E15" s="11">
        <v>113000</v>
      </c>
      <c r="F15" s="11">
        <v>102600</v>
      </c>
      <c r="G15" s="11">
        <v>92200</v>
      </c>
      <c r="H15" s="11">
        <v>81800</v>
      </c>
      <c r="I15" s="11">
        <v>74900</v>
      </c>
      <c r="J15" s="11"/>
      <c r="K15" s="12"/>
      <c r="L15" s="12"/>
      <c r="M15" s="12"/>
      <c r="N15" s="12"/>
    </row>
    <row r="16" spans="1:14" x14ac:dyDescent="0.25">
      <c r="A16" s="1">
        <v>2</v>
      </c>
      <c r="B16" s="115">
        <f t="shared" ref="B16:B17" si="1">C17</f>
        <v>150300</v>
      </c>
      <c r="C16" s="115">
        <f t="shared" ref="C16:C17" si="2">D17</f>
        <v>143300</v>
      </c>
      <c r="D16" s="11">
        <v>136300</v>
      </c>
      <c r="E16" s="11">
        <v>121200</v>
      </c>
      <c r="F16" s="11">
        <v>110000</v>
      </c>
      <c r="G16" s="11">
        <v>98800</v>
      </c>
      <c r="H16" s="11">
        <v>87600</v>
      </c>
      <c r="I16" s="11">
        <v>80000</v>
      </c>
      <c r="J16" s="11"/>
      <c r="K16" s="12"/>
      <c r="L16" s="12"/>
      <c r="M16" s="12"/>
      <c r="N16" s="12"/>
    </row>
    <row r="17" spans="1:14" x14ac:dyDescent="0.25">
      <c r="A17" s="1">
        <v>3</v>
      </c>
      <c r="B17" s="115">
        <f t="shared" si="1"/>
        <v>155600</v>
      </c>
      <c r="C17" s="115">
        <f t="shared" si="2"/>
        <v>150300</v>
      </c>
      <c r="D17" s="11">
        <v>143300</v>
      </c>
      <c r="E17" s="11">
        <v>127400</v>
      </c>
      <c r="F17" s="11">
        <v>115600</v>
      </c>
      <c r="G17" s="11">
        <v>103600</v>
      </c>
      <c r="H17" s="11">
        <v>91800</v>
      </c>
      <c r="I17" s="11">
        <v>83800</v>
      </c>
      <c r="J17" s="11"/>
      <c r="K17" s="12"/>
      <c r="L17" s="12"/>
      <c r="M17" s="12"/>
      <c r="N17" s="12"/>
    </row>
    <row r="18" spans="1:14" x14ac:dyDescent="0.25">
      <c r="A18" s="1">
        <v>4</v>
      </c>
      <c r="B18" s="115">
        <f>D18+10600</f>
        <v>160900</v>
      </c>
      <c r="C18" s="115">
        <f>D18+5300</f>
        <v>155600</v>
      </c>
      <c r="D18" s="11">
        <v>150300</v>
      </c>
      <c r="E18" s="11">
        <v>133600</v>
      </c>
      <c r="F18" s="11">
        <v>121000</v>
      </c>
      <c r="G18" s="11">
        <v>108600</v>
      </c>
      <c r="H18" s="11">
        <v>96000</v>
      </c>
      <c r="I18" s="11">
        <v>87700</v>
      </c>
      <c r="J18" s="11"/>
      <c r="K18" s="12"/>
      <c r="L18" s="12"/>
      <c r="M18" s="12"/>
      <c r="N18" s="12"/>
    </row>
    <row r="19" spans="1:14" s="12" customFormat="1" x14ac:dyDescent="0.25">
      <c r="A19" s="1"/>
      <c r="B19" s="11"/>
      <c r="C19" s="11"/>
      <c r="D19" s="11"/>
      <c r="E19" s="11"/>
      <c r="F19" s="11"/>
      <c r="G19" s="11"/>
      <c r="H19" s="11"/>
      <c r="I19" s="11"/>
      <c r="J19" s="11"/>
    </row>
    <row r="20" spans="1:14" x14ac:dyDescent="0.25">
      <c r="A20" s="200" t="s">
        <v>80</v>
      </c>
      <c r="B20" s="200"/>
      <c r="C20" s="200"/>
      <c r="D20" s="200"/>
      <c r="E20" s="200"/>
      <c r="F20" s="200"/>
      <c r="G20" s="200"/>
      <c r="H20" s="200"/>
      <c r="I20" s="200"/>
      <c r="J20" s="200"/>
      <c r="K20" s="200"/>
      <c r="L20" s="200"/>
      <c r="M20" s="200"/>
      <c r="N20" s="200"/>
    </row>
    <row r="21" spans="1:14" x14ac:dyDescent="0.25">
      <c r="A21" s="199" t="s">
        <v>82</v>
      </c>
      <c r="B21" s="199"/>
      <c r="C21" s="199"/>
      <c r="D21" s="199"/>
      <c r="E21" s="199"/>
      <c r="F21" s="199"/>
      <c r="G21" s="199"/>
      <c r="H21" s="199"/>
      <c r="I21" s="199"/>
      <c r="J21" s="199"/>
      <c r="K21" s="199"/>
      <c r="L21" s="199"/>
      <c r="M21" s="199"/>
      <c r="N21" s="199"/>
    </row>
    <row r="22" spans="1:14" x14ac:dyDescent="0.25">
      <c r="A22" s="1"/>
      <c r="B22" s="1"/>
      <c r="C22" s="1"/>
      <c r="D22" s="1"/>
      <c r="E22" s="1"/>
      <c r="F22" s="1"/>
      <c r="G22" s="1"/>
      <c r="H22" s="1"/>
      <c r="I22" s="1"/>
      <c r="J22" s="1"/>
      <c r="K22" s="1"/>
      <c r="L22" s="1"/>
      <c r="M22" s="12"/>
      <c r="N22" s="12"/>
    </row>
    <row r="23" spans="1:14" x14ac:dyDescent="0.25">
      <c r="A23" s="1" t="s">
        <v>80</v>
      </c>
      <c r="B23" s="12" t="s">
        <v>71</v>
      </c>
      <c r="C23" s="12" t="s">
        <v>72</v>
      </c>
      <c r="D23" s="1" t="s">
        <v>73</v>
      </c>
      <c r="E23" s="1" t="s">
        <v>74</v>
      </c>
      <c r="F23" s="1" t="s">
        <v>75</v>
      </c>
      <c r="G23" s="1" t="s">
        <v>76</v>
      </c>
      <c r="H23" s="1" t="s">
        <v>77</v>
      </c>
      <c r="I23" s="1" t="s">
        <v>78</v>
      </c>
      <c r="J23" s="1"/>
      <c r="K23" s="112" t="s">
        <v>151</v>
      </c>
      <c r="L23" s="112" t="s">
        <v>149</v>
      </c>
      <c r="M23" s="112" t="s">
        <v>150</v>
      </c>
      <c r="N23" s="12"/>
    </row>
    <row r="24" spans="1:14" x14ac:dyDescent="0.25">
      <c r="A24" s="1">
        <v>1</v>
      </c>
      <c r="B24" s="115">
        <f>D26</f>
        <v>152300</v>
      </c>
      <c r="C24" s="115">
        <f t="shared" ref="C24:C31" si="3">D25</f>
        <v>145600</v>
      </c>
      <c r="D24" s="11">
        <f>135200+L24</f>
        <v>138900</v>
      </c>
      <c r="E24" s="11">
        <f>120000+L25</f>
        <v>123300</v>
      </c>
      <c r="F24" s="11">
        <f>108600+L26</f>
        <v>111500</v>
      </c>
      <c r="G24" s="11">
        <f>97100+L27</f>
        <v>99700</v>
      </c>
      <c r="H24" s="11">
        <f t="shared" ref="H24:H33" si="4">I24+300</f>
        <v>88000</v>
      </c>
      <c r="I24" s="11">
        <f>85700+L29</f>
        <v>87700</v>
      </c>
      <c r="J24" s="11"/>
      <c r="K24" s="114" t="s">
        <v>73</v>
      </c>
      <c r="L24" s="120">
        <v>3700</v>
      </c>
      <c r="M24" s="120">
        <v>2500</v>
      </c>
      <c r="N24" s="12"/>
    </row>
    <row r="25" spans="1:14" x14ac:dyDescent="0.25">
      <c r="A25" s="1">
        <v>2</v>
      </c>
      <c r="B25" s="115">
        <f t="shared" ref="B25:B30" si="5">D27</f>
        <v>159000</v>
      </c>
      <c r="C25" s="115">
        <f t="shared" si="3"/>
        <v>152300</v>
      </c>
      <c r="D25" s="11">
        <f>141900+L24</f>
        <v>145600</v>
      </c>
      <c r="E25" s="11">
        <f>125900+L25</f>
        <v>129200</v>
      </c>
      <c r="F25" s="11">
        <f>113800+L26</f>
        <v>116700</v>
      </c>
      <c r="G25" s="11">
        <f>101800+L27</f>
        <v>104400</v>
      </c>
      <c r="H25" s="11">
        <f t="shared" si="4"/>
        <v>92100</v>
      </c>
      <c r="I25" s="11">
        <f>89800+L29</f>
        <v>91800</v>
      </c>
      <c r="J25" s="11"/>
      <c r="K25" s="114" t="s">
        <v>74</v>
      </c>
      <c r="L25" s="120">
        <v>3300</v>
      </c>
      <c r="M25" s="120">
        <v>2200</v>
      </c>
      <c r="N25" s="12"/>
    </row>
    <row r="26" spans="1:14" x14ac:dyDescent="0.25">
      <c r="A26" s="1">
        <v>3</v>
      </c>
      <c r="B26" s="115">
        <f t="shared" si="5"/>
        <v>165800</v>
      </c>
      <c r="C26" s="115">
        <f t="shared" si="3"/>
        <v>159000</v>
      </c>
      <c r="D26" s="11">
        <f>148600+L24</f>
        <v>152300</v>
      </c>
      <c r="E26" s="11">
        <f>131700+L25</f>
        <v>135000</v>
      </c>
      <c r="F26" s="11">
        <f>119200+L26</f>
        <v>122100</v>
      </c>
      <c r="G26" s="11">
        <f>106500+L27</f>
        <v>109100</v>
      </c>
      <c r="H26" s="11">
        <f t="shared" si="4"/>
        <v>96100</v>
      </c>
      <c r="I26" s="11">
        <f>93800+L29</f>
        <v>95800</v>
      </c>
      <c r="J26" s="11"/>
      <c r="K26" s="114" t="s">
        <v>75</v>
      </c>
      <c r="L26" s="120">
        <v>2900</v>
      </c>
      <c r="M26" s="120">
        <v>2000</v>
      </c>
      <c r="N26" s="12"/>
    </row>
    <row r="27" spans="1:14" x14ac:dyDescent="0.25">
      <c r="A27" s="1">
        <v>4</v>
      </c>
      <c r="B27" s="115">
        <f t="shared" si="5"/>
        <v>172500</v>
      </c>
      <c r="C27" s="115">
        <f t="shared" si="3"/>
        <v>165800</v>
      </c>
      <c r="D27" s="11">
        <f>155300+L24</f>
        <v>159000</v>
      </c>
      <c r="E27" s="11">
        <f>137700+L25</f>
        <v>141000</v>
      </c>
      <c r="F27" s="11">
        <f>124400+L26</f>
        <v>127300</v>
      </c>
      <c r="G27" s="11">
        <f>111100+L27</f>
        <v>113700</v>
      </c>
      <c r="H27" s="11">
        <f t="shared" si="4"/>
        <v>100300</v>
      </c>
      <c r="I27" s="11">
        <f>98000+L29</f>
        <v>100000</v>
      </c>
      <c r="J27" s="11"/>
      <c r="K27" s="114" t="s">
        <v>76</v>
      </c>
      <c r="L27" s="120">
        <v>2600</v>
      </c>
      <c r="M27" s="120">
        <v>1700</v>
      </c>
      <c r="N27" s="12"/>
    </row>
    <row r="28" spans="1:14" x14ac:dyDescent="0.25">
      <c r="A28" s="1">
        <v>5</v>
      </c>
      <c r="B28" s="115">
        <f t="shared" si="5"/>
        <v>179300</v>
      </c>
      <c r="C28" s="115">
        <f t="shared" si="3"/>
        <v>172500</v>
      </c>
      <c r="D28" s="11">
        <f>162100+L24</f>
        <v>165800</v>
      </c>
      <c r="E28" s="11">
        <f>143600+L25</f>
        <v>146900</v>
      </c>
      <c r="F28" s="11">
        <f>129800+L26</f>
        <v>132700</v>
      </c>
      <c r="G28" s="11">
        <f>115900+L27</f>
        <v>118500</v>
      </c>
      <c r="H28" s="11">
        <f t="shared" si="4"/>
        <v>104300</v>
      </c>
      <c r="I28" s="11">
        <f>102000+L29</f>
        <v>104000</v>
      </c>
      <c r="J28" s="11"/>
      <c r="K28" s="114" t="s">
        <v>77</v>
      </c>
      <c r="L28" s="120">
        <v>2300</v>
      </c>
      <c r="M28" s="120">
        <v>1500</v>
      </c>
      <c r="N28" s="12"/>
    </row>
    <row r="29" spans="1:14" x14ac:dyDescent="0.25">
      <c r="A29" s="1">
        <v>6</v>
      </c>
      <c r="B29" s="115">
        <f t="shared" si="5"/>
        <v>186200</v>
      </c>
      <c r="C29" s="115">
        <f t="shared" si="3"/>
        <v>179300</v>
      </c>
      <c r="D29" s="11">
        <f>168800+L24</f>
        <v>172500</v>
      </c>
      <c r="E29" s="11">
        <f>149600+L25</f>
        <v>152900</v>
      </c>
      <c r="F29" s="11">
        <f>135000+L26</f>
        <v>137900</v>
      </c>
      <c r="G29" s="11">
        <f>H29+300</f>
        <v>123100</v>
      </c>
      <c r="H29" s="11">
        <f t="shared" si="4"/>
        <v>122800</v>
      </c>
      <c r="I29" s="11">
        <f>120500+L29</f>
        <v>122500</v>
      </c>
      <c r="J29" s="11"/>
      <c r="K29" s="114" t="s">
        <v>78</v>
      </c>
      <c r="L29" s="120">
        <v>2000</v>
      </c>
      <c r="M29" s="120">
        <v>1400</v>
      </c>
      <c r="N29" s="12"/>
    </row>
    <row r="30" spans="1:14" x14ac:dyDescent="0.25">
      <c r="A30" s="1">
        <v>7</v>
      </c>
      <c r="B30" s="115">
        <f t="shared" si="5"/>
        <v>193500</v>
      </c>
      <c r="C30" s="115">
        <f t="shared" si="3"/>
        <v>186200</v>
      </c>
      <c r="D30" s="11">
        <f>175600+L24</f>
        <v>179300</v>
      </c>
      <c r="E30" s="11">
        <f>155400+L25</f>
        <v>158700</v>
      </c>
      <c r="F30" s="11">
        <f>140400+L26</f>
        <v>143300</v>
      </c>
      <c r="G30" s="11">
        <f>H30+300</f>
        <v>127800</v>
      </c>
      <c r="H30" s="11">
        <f t="shared" si="4"/>
        <v>127500</v>
      </c>
      <c r="I30" s="11">
        <f>125200+L29</f>
        <v>127200</v>
      </c>
      <c r="J30" s="11"/>
      <c r="K30" s="1"/>
      <c r="L30" s="1"/>
      <c r="M30" s="12"/>
      <c r="N30" s="12"/>
    </row>
    <row r="31" spans="1:14" x14ac:dyDescent="0.25">
      <c r="A31" s="1">
        <v>8</v>
      </c>
      <c r="B31" s="115">
        <f>D33</f>
        <v>201000</v>
      </c>
      <c r="C31" s="115">
        <f t="shared" si="3"/>
        <v>193500</v>
      </c>
      <c r="D31" s="11">
        <f>182500+L24</f>
        <v>186200</v>
      </c>
      <c r="E31" s="11">
        <f>161600+L25</f>
        <v>164900</v>
      </c>
      <c r="F31" s="11">
        <f>145800+L26</f>
        <v>148700</v>
      </c>
      <c r="G31" s="11">
        <f>H31+300</f>
        <v>132700</v>
      </c>
      <c r="H31" s="11">
        <f t="shared" si="4"/>
        <v>132400</v>
      </c>
      <c r="I31" s="11">
        <f>130100+L29</f>
        <v>132100</v>
      </c>
      <c r="J31" s="11"/>
      <c r="K31" s="1"/>
      <c r="L31" s="1"/>
      <c r="M31" s="12"/>
      <c r="N31" s="12"/>
    </row>
    <row r="32" spans="1:14" x14ac:dyDescent="0.25">
      <c r="A32" s="1">
        <v>9</v>
      </c>
      <c r="B32" s="115">
        <f>B31</f>
        <v>201000</v>
      </c>
      <c r="C32" s="115">
        <f>D33</f>
        <v>201000</v>
      </c>
      <c r="D32" s="11">
        <f>189800+L24</f>
        <v>193500</v>
      </c>
      <c r="E32" s="11">
        <f>168000+L25</f>
        <v>171300</v>
      </c>
      <c r="F32" s="11">
        <f>151600+L26</f>
        <v>154500</v>
      </c>
      <c r="G32" s="11">
        <f>H32+300</f>
        <v>137700</v>
      </c>
      <c r="H32" s="11">
        <f t="shared" si="4"/>
        <v>137400</v>
      </c>
      <c r="I32" s="11">
        <f>135100+L29</f>
        <v>137100</v>
      </c>
      <c r="J32" s="11"/>
      <c r="K32" s="1"/>
      <c r="L32" s="1"/>
      <c r="M32" s="12"/>
      <c r="N32" s="12"/>
    </row>
    <row r="33" spans="1:14" x14ac:dyDescent="0.25">
      <c r="A33" s="1">
        <v>10</v>
      </c>
      <c r="B33" s="115">
        <f>B32</f>
        <v>201000</v>
      </c>
      <c r="C33" s="115">
        <f>D33</f>
        <v>201000</v>
      </c>
      <c r="D33" s="11">
        <f>197300+L24</f>
        <v>201000</v>
      </c>
      <c r="E33" s="11">
        <f>174600+L25</f>
        <v>177900</v>
      </c>
      <c r="F33" s="11">
        <f>157500+L26</f>
        <v>160400</v>
      </c>
      <c r="G33" s="11">
        <f>H33+300</f>
        <v>143100</v>
      </c>
      <c r="H33" s="11">
        <f t="shared" si="4"/>
        <v>142800</v>
      </c>
      <c r="I33" s="11">
        <f>140500+L29</f>
        <v>142500</v>
      </c>
      <c r="J33" s="11"/>
      <c r="K33" s="1"/>
      <c r="L33" s="1"/>
      <c r="M33" s="12"/>
      <c r="N33" s="12"/>
    </row>
    <row r="34" spans="1:14" x14ac:dyDescent="0.25">
      <c r="A34" s="1"/>
      <c r="B34" s="1"/>
      <c r="C34" s="1"/>
      <c r="D34" s="1"/>
      <c r="E34" s="1"/>
      <c r="F34" s="11"/>
      <c r="G34" s="1"/>
      <c r="H34" s="1"/>
      <c r="I34" s="1"/>
      <c r="J34" s="1"/>
      <c r="K34" s="1"/>
      <c r="L34" s="1"/>
      <c r="M34" s="12"/>
      <c r="N34" s="12"/>
    </row>
    <row r="35" spans="1:14" x14ac:dyDescent="0.25">
      <c r="A35" s="200" t="s">
        <v>80</v>
      </c>
      <c r="B35" s="200"/>
      <c r="C35" s="200"/>
      <c r="D35" s="200"/>
      <c r="E35" s="200"/>
      <c r="F35" s="200"/>
      <c r="G35" s="200"/>
      <c r="H35" s="200"/>
      <c r="I35" s="200"/>
      <c r="J35" s="200"/>
      <c r="K35" s="200"/>
      <c r="L35" s="200"/>
      <c r="M35" s="200"/>
      <c r="N35" s="200"/>
    </row>
    <row r="36" spans="1:14" x14ac:dyDescent="0.25">
      <c r="A36" s="199" t="s">
        <v>83</v>
      </c>
      <c r="B36" s="199"/>
      <c r="C36" s="199"/>
      <c r="D36" s="199"/>
      <c r="E36" s="199"/>
      <c r="F36" s="199"/>
      <c r="G36" s="199"/>
      <c r="H36" s="199"/>
      <c r="I36" s="199"/>
      <c r="J36" s="199"/>
      <c r="K36" s="199"/>
      <c r="L36" s="199"/>
      <c r="M36" s="199"/>
      <c r="N36" s="199"/>
    </row>
    <row r="37" spans="1:14" x14ac:dyDescent="0.25">
      <c r="A37" s="1"/>
      <c r="B37" s="1"/>
      <c r="C37" s="1"/>
      <c r="D37" s="1"/>
      <c r="E37" s="1"/>
      <c r="F37" s="1"/>
      <c r="G37" s="1"/>
      <c r="H37" s="1"/>
      <c r="I37" s="1"/>
      <c r="J37" s="1"/>
      <c r="K37" s="1"/>
      <c r="L37" s="1"/>
      <c r="M37" s="12"/>
      <c r="N37" s="12"/>
    </row>
    <row r="38" spans="1:14" x14ac:dyDescent="0.25">
      <c r="A38" s="1" t="s">
        <v>80</v>
      </c>
      <c r="B38" s="12" t="s">
        <v>71</v>
      </c>
      <c r="C38" s="12" t="s">
        <v>72</v>
      </c>
      <c r="D38" s="1" t="s">
        <v>73</v>
      </c>
      <c r="E38" s="1" t="s">
        <v>74</v>
      </c>
      <c r="F38" s="1" t="s">
        <v>75</v>
      </c>
      <c r="G38" s="1" t="s">
        <v>76</v>
      </c>
      <c r="H38" s="1" t="s">
        <v>77</v>
      </c>
      <c r="I38" s="1" t="s">
        <v>78</v>
      </c>
      <c r="J38" s="1"/>
      <c r="K38" s="1"/>
      <c r="L38" s="1"/>
      <c r="M38" s="12"/>
      <c r="N38" s="12"/>
    </row>
    <row r="39" spans="1:14" x14ac:dyDescent="0.25">
      <c r="A39" s="1">
        <v>1</v>
      </c>
      <c r="B39" s="115">
        <f>D41</f>
        <v>157900</v>
      </c>
      <c r="C39" s="115">
        <f>D40</f>
        <v>151000</v>
      </c>
      <c r="D39" s="11">
        <f>140300+L24</f>
        <v>144000</v>
      </c>
      <c r="E39" s="11">
        <f>124400+L25</f>
        <v>127700</v>
      </c>
      <c r="F39" s="11">
        <f>112500+L26</f>
        <v>115400</v>
      </c>
      <c r="G39" s="11">
        <f>100600+L27</f>
        <v>103200</v>
      </c>
      <c r="H39" s="11">
        <f t="shared" ref="H39:H48" si="6">I39+300</f>
        <v>91100</v>
      </c>
      <c r="I39" s="11">
        <f>88800+L29</f>
        <v>90800</v>
      </c>
      <c r="J39" s="11"/>
      <c r="K39" s="1"/>
      <c r="L39" s="1"/>
      <c r="M39" s="12"/>
      <c r="N39" s="12"/>
    </row>
    <row r="40" spans="1:14" x14ac:dyDescent="0.25">
      <c r="A40" s="1">
        <v>2</v>
      </c>
      <c r="B40" s="115">
        <f t="shared" ref="B40:B46" si="7">D42</f>
        <v>164900</v>
      </c>
      <c r="C40" s="115">
        <f t="shared" ref="C40:C47" si="8">D41</f>
        <v>157900</v>
      </c>
      <c r="D40" s="11">
        <f>147300+L24</f>
        <v>151000</v>
      </c>
      <c r="E40" s="11">
        <f>130500+L25</f>
        <v>133800</v>
      </c>
      <c r="F40" s="11">
        <f>118000+L26</f>
        <v>120900</v>
      </c>
      <c r="G40" s="11">
        <f>105500+L27</f>
        <v>108100</v>
      </c>
      <c r="H40" s="11">
        <f t="shared" si="6"/>
        <v>95300</v>
      </c>
      <c r="I40" s="11">
        <f>93000+L29</f>
        <v>95000</v>
      </c>
      <c r="J40" s="11"/>
      <c r="K40" s="1"/>
      <c r="L40" s="1"/>
      <c r="M40" s="12"/>
      <c r="N40" s="12"/>
    </row>
    <row r="41" spans="1:14" x14ac:dyDescent="0.25">
      <c r="A41" s="1">
        <v>3</v>
      </c>
      <c r="B41" s="115">
        <f t="shared" si="7"/>
        <v>171900</v>
      </c>
      <c r="C41" s="115">
        <f t="shared" si="8"/>
        <v>164900</v>
      </c>
      <c r="D41" s="11">
        <f>154200+L24</f>
        <v>157900</v>
      </c>
      <c r="E41" s="11">
        <f>136700+L25</f>
        <v>140000</v>
      </c>
      <c r="F41" s="11">
        <f>123500+L26</f>
        <v>126400</v>
      </c>
      <c r="G41" s="11">
        <f>110300+L27</f>
        <v>112900</v>
      </c>
      <c r="H41" s="11">
        <f t="shared" si="6"/>
        <v>99500</v>
      </c>
      <c r="I41" s="11">
        <f>97200+L29</f>
        <v>99200</v>
      </c>
      <c r="J41" s="11"/>
      <c r="K41" s="1"/>
      <c r="L41" s="1"/>
      <c r="M41" s="12"/>
      <c r="N41" s="12"/>
    </row>
    <row r="42" spans="1:14" x14ac:dyDescent="0.25">
      <c r="A42" s="1">
        <v>4</v>
      </c>
      <c r="B42" s="115">
        <f t="shared" si="7"/>
        <v>178900</v>
      </c>
      <c r="C42" s="115">
        <f t="shared" si="8"/>
        <v>171900</v>
      </c>
      <c r="D42" s="11">
        <f>161200+L24</f>
        <v>164900</v>
      </c>
      <c r="E42" s="11">
        <f>142900+L25</f>
        <v>146200</v>
      </c>
      <c r="F42" s="11">
        <f>129100+L26</f>
        <v>132000</v>
      </c>
      <c r="G42" s="11">
        <f>115300+L27</f>
        <v>117900</v>
      </c>
      <c r="H42" s="11">
        <f t="shared" si="6"/>
        <v>103800</v>
      </c>
      <c r="I42" s="11">
        <f>101500+L29</f>
        <v>103500</v>
      </c>
      <c r="J42" s="11"/>
      <c r="K42" s="1"/>
      <c r="L42" s="1"/>
      <c r="M42" s="12"/>
      <c r="N42" s="12"/>
    </row>
    <row r="43" spans="1:14" x14ac:dyDescent="0.25">
      <c r="A43" s="1">
        <v>5</v>
      </c>
      <c r="B43" s="115">
        <f t="shared" si="7"/>
        <v>185900</v>
      </c>
      <c r="C43" s="115">
        <f t="shared" si="8"/>
        <v>178900</v>
      </c>
      <c r="D43" s="11">
        <f>168200+L24</f>
        <v>171900</v>
      </c>
      <c r="E43" s="11">
        <f>148900+L25</f>
        <v>152200</v>
      </c>
      <c r="F43" s="11">
        <f>134500+L26</f>
        <v>137400</v>
      </c>
      <c r="G43" s="11">
        <f>120100+L27</f>
        <v>122700</v>
      </c>
      <c r="H43" s="11">
        <f t="shared" si="6"/>
        <v>108000</v>
      </c>
      <c r="I43" s="11">
        <f>105700+L29</f>
        <v>107700</v>
      </c>
      <c r="J43" s="11"/>
      <c r="K43" s="1"/>
      <c r="L43" s="1"/>
      <c r="M43" s="12"/>
      <c r="N43" s="12"/>
    </row>
    <row r="44" spans="1:14" x14ac:dyDescent="0.25">
      <c r="A44" s="1">
        <v>6</v>
      </c>
      <c r="B44" s="115">
        <f t="shared" si="7"/>
        <v>193200</v>
      </c>
      <c r="C44" s="115">
        <f t="shared" si="8"/>
        <v>185900</v>
      </c>
      <c r="D44" s="11">
        <f>175200+L24</f>
        <v>178900</v>
      </c>
      <c r="E44" s="11">
        <f>155100+L25</f>
        <v>158400</v>
      </c>
      <c r="F44" s="11">
        <f>140100+L26</f>
        <v>143000</v>
      </c>
      <c r="G44" s="11">
        <f>H44+300</f>
        <v>127600</v>
      </c>
      <c r="H44" s="11">
        <f t="shared" si="6"/>
        <v>127300</v>
      </c>
      <c r="I44" s="11">
        <f>125000+L29</f>
        <v>127000</v>
      </c>
      <c r="J44" s="11"/>
      <c r="K44" s="1"/>
      <c r="L44" s="1"/>
      <c r="M44" s="12"/>
      <c r="N44" s="12"/>
    </row>
    <row r="45" spans="1:14" x14ac:dyDescent="0.25">
      <c r="A45" s="1">
        <v>7</v>
      </c>
      <c r="B45" s="115">
        <f t="shared" si="7"/>
        <v>200700</v>
      </c>
      <c r="C45" s="115">
        <f t="shared" si="8"/>
        <v>193200</v>
      </c>
      <c r="D45" s="11">
        <f>182200+L24</f>
        <v>185900</v>
      </c>
      <c r="E45" s="11">
        <f>161300+L25</f>
        <v>164600</v>
      </c>
      <c r="F45" s="11">
        <f>145500+L26</f>
        <v>148400</v>
      </c>
      <c r="G45" s="11">
        <f>H45+300</f>
        <v>132500</v>
      </c>
      <c r="H45" s="11">
        <f t="shared" si="6"/>
        <v>132200</v>
      </c>
      <c r="I45" s="11">
        <f>129900+L29</f>
        <v>131900</v>
      </c>
      <c r="J45" s="11"/>
      <c r="K45" s="1"/>
      <c r="L45" s="1"/>
      <c r="M45" s="12"/>
      <c r="N45" s="12"/>
    </row>
    <row r="46" spans="1:14" x14ac:dyDescent="0.25">
      <c r="A46" s="1">
        <v>8</v>
      </c>
      <c r="B46" s="115">
        <f t="shared" si="7"/>
        <v>208600</v>
      </c>
      <c r="C46" s="115">
        <f t="shared" si="8"/>
        <v>200700</v>
      </c>
      <c r="D46" s="11">
        <f>189500+L24</f>
        <v>193200</v>
      </c>
      <c r="E46" s="11">
        <f>167700+L25</f>
        <v>171000</v>
      </c>
      <c r="F46" s="11">
        <f>151300+L26</f>
        <v>154200</v>
      </c>
      <c r="G46" s="11">
        <f>H46+300</f>
        <v>137500</v>
      </c>
      <c r="H46" s="11">
        <f t="shared" si="6"/>
        <v>137200</v>
      </c>
      <c r="I46" s="11">
        <f>134900+L29</f>
        <v>136900</v>
      </c>
      <c r="J46" s="11"/>
      <c r="K46" s="1"/>
      <c r="L46" s="1"/>
      <c r="M46" s="12"/>
      <c r="N46" s="12"/>
    </row>
    <row r="47" spans="1:14" x14ac:dyDescent="0.25">
      <c r="A47" s="1">
        <v>9</v>
      </c>
      <c r="B47" s="115">
        <f t="shared" ref="B47" si="9">C48</f>
        <v>208600</v>
      </c>
      <c r="C47" s="115">
        <f t="shared" si="8"/>
        <v>208600</v>
      </c>
      <c r="D47" s="11">
        <f>197000+L24</f>
        <v>200700</v>
      </c>
      <c r="E47" s="11">
        <f>174300+L25</f>
        <v>177600</v>
      </c>
      <c r="F47" s="11">
        <f>157300+L26</f>
        <v>160200</v>
      </c>
      <c r="G47" s="11">
        <f>H47+300</f>
        <v>142800</v>
      </c>
      <c r="H47" s="11">
        <f t="shared" si="6"/>
        <v>142500</v>
      </c>
      <c r="I47" s="11">
        <f>140200+L29</f>
        <v>142200</v>
      </c>
      <c r="J47" s="11"/>
      <c r="K47" s="1"/>
      <c r="L47" s="1"/>
      <c r="M47" s="12"/>
      <c r="N47" s="12"/>
    </row>
    <row r="48" spans="1:14" x14ac:dyDescent="0.25">
      <c r="A48" s="1">
        <v>10</v>
      </c>
      <c r="B48" s="115">
        <f>C48</f>
        <v>208600</v>
      </c>
      <c r="C48" s="115">
        <f>D48</f>
        <v>208600</v>
      </c>
      <c r="D48" s="11">
        <f>204900+L24</f>
        <v>208600</v>
      </c>
      <c r="E48" s="11">
        <f>181200+L25</f>
        <v>184500</v>
      </c>
      <c r="F48" s="11">
        <f>163500+L26</f>
        <v>166400</v>
      </c>
      <c r="G48" s="11">
        <f>H48+300</f>
        <v>148300</v>
      </c>
      <c r="H48" s="11">
        <f t="shared" si="6"/>
        <v>148000</v>
      </c>
      <c r="I48" s="11">
        <f>145700+L29</f>
        <v>147700</v>
      </c>
      <c r="J48" s="11"/>
      <c r="K48" s="1"/>
      <c r="L48" s="1"/>
      <c r="M48" s="12"/>
      <c r="N48" s="12"/>
    </row>
    <row r="51" spans="1:14" x14ac:dyDescent="0.25">
      <c r="A51" s="202" t="s">
        <v>84</v>
      </c>
      <c r="B51" s="202"/>
      <c r="C51" s="202"/>
      <c r="D51" s="202"/>
      <c r="E51" s="202"/>
      <c r="F51" s="202"/>
      <c r="G51" s="202"/>
      <c r="H51" s="202"/>
      <c r="I51" s="202"/>
      <c r="J51" s="202"/>
      <c r="K51" s="202"/>
      <c r="L51" s="202"/>
      <c r="M51" s="202"/>
      <c r="N51" s="202"/>
    </row>
    <row r="52" spans="1:14" x14ac:dyDescent="0.25">
      <c r="A52" s="199" t="s">
        <v>70</v>
      </c>
      <c r="B52" s="199"/>
      <c r="C52" s="199"/>
      <c r="D52" s="199"/>
      <c r="E52" s="199"/>
      <c r="F52" s="199"/>
      <c r="G52" s="199"/>
      <c r="H52" s="199"/>
      <c r="I52" s="199"/>
      <c r="J52" s="199"/>
      <c r="K52" s="199"/>
      <c r="L52" s="199"/>
      <c r="M52" s="199"/>
      <c r="N52" s="199"/>
    </row>
    <row r="54" spans="1:14" x14ac:dyDescent="0.25">
      <c r="A54" s="199" t="s">
        <v>82</v>
      </c>
      <c r="B54" s="199"/>
      <c r="C54" s="199"/>
      <c r="D54" s="199"/>
      <c r="E54" s="199"/>
      <c r="F54" s="199"/>
      <c r="G54" s="199"/>
      <c r="H54" s="199"/>
      <c r="I54" s="199"/>
      <c r="J54" s="199"/>
      <c r="K54" s="199"/>
      <c r="L54" s="199"/>
      <c r="M54" s="199"/>
      <c r="N54" s="199"/>
    </row>
    <row r="56" spans="1:14" x14ac:dyDescent="0.25">
      <c r="A56" s="1" t="s">
        <v>70</v>
      </c>
      <c r="B56" s="12" t="s">
        <v>71</v>
      </c>
      <c r="C56" s="12" t="s">
        <v>72</v>
      </c>
      <c r="D56" s="1" t="s">
        <v>73</v>
      </c>
      <c r="E56" s="1" t="s">
        <v>74</v>
      </c>
      <c r="F56" s="1" t="s">
        <v>75</v>
      </c>
      <c r="G56" s="1" t="s">
        <v>76</v>
      </c>
      <c r="H56" s="1" t="s">
        <v>77</v>
      </c>
      <c r="I56" s="1" t="s">
        <v>78</v>
      </c>
      <c r="J56" s="1"/>
      <c r="K56" s="1"/>
      <c r="L56" s="1"/>
      <c r="M56" s="12"/>
      <c r="N56" s="12"/>
    </row>
    <row r="57" spans="1:14" x14ac:dyDescent="0.25">
      <c r="A57" s="1">
        <v>1</v>
      </c>
      <c r="B57" s="11">
        <f t="shared" ref="B57:C59" si="10">C58</f>
        <v>128900</v>
      </c>
      <c r="C57" s="11">
        <f t="shared" si="10"/>
        <v>122200</v>
      </c>
      <c r="D57" s="11">
        <v>113100</v>
      </c>
      <c r="E57" s="11">
        <v>99700</v>
      </c>
      <c r="F57" s="11">
        <v>89700</v>
      </c>
      <c r="G57" s="11">
        <v>79700</v>
      </c>
      <c r="H57" s="11">
        <v>69700</v>
      </c>
      <c r="I57" s="11">
        <v>63100</v>
      </c>
      <c r="J57" s="11"/>
      <c r="K57" s="12"/>
      <c r="L57" s="12"/>
      <c r="M57" s="12"/>
      <c r="N57" s="12"/>
    </row>
    <row r="58" spans="1:14" x14ac:dyDescent="0.25">
      <c r="A58" s="1">
        <v>2</v>
      </c>
      <c r="B58" s="11">
        <f t="shared" si="10"/>
        <v>135700</v>
      </c>
      <c r="C58" s="11">
        <f t="shared" si="10"/>
        <v>128900</v>
      </c>
      <c r="D58" s="11">
        <v>122200</v>
      </c>
      <c r="E58" s="11">
        <v>107700</v>
      </c>
      <c r="F58" s="11">
        <v>96900</v>
      </c>
      <c r="G58" s="11">
        <v>86100</v>
      </c>
      <c r="H58" s="11">
        <v>75300</v>
      </c>
      <c r="I58" s="11">
        <v>68100</v>
      </c>
      <c r="J58" s="11"/>
      <c r="K58" s="12"/>
      <c r="L58" s="12"/>
      <c r="M58" s="12"/>
      <c r="N58" s="12"/>
    </row>
    <row r="59" spans="1:14" x14ac:dyDescent="0.25">
      <c r="A59" s="1">
        <v>3</v>
      </c>
      <c r="B59" s="11">
        <f t="shared" si="10"/>
        <v>135700</v>
      </c>
      <c r="C59" s="11">
        <f t="shared" si="10"/>
        <v>135700</v>
      </c>
      <c r="D59" s="11">
        <v>128900</v>
      </c>
      <c r="E59" s="11">
        <v>113600</v>
      </c>
      <c r="F59" s="11">
        <v>102200</v>
      </c>
      <c r="G59" s="11">
        <v>90700</v>
      </c>
      <c r="H59" s="11">
        <v>79300</v>
      </c>
      <c r="I59" s="11">
        <v>71700</v>
      </c>
      <c r="J59" s="11"/>
      <c r="K59" s="12"/>
      <c r="L59" s="12"/>
      <c r="M59" s="12"/>
      <c r="N59" s="12"/>
    </row>
    <row r="60" spans="1:14" x14ac:dyDescent="0.25">
      <c r="A60" s="1">
        <v>4</v>
      </c>
      <c r="B60" s="11">
        <f>C60</f>
        <v>135700</v>
      </c>
      <c r="C60" s="11">
        <f>D60</f>
        <v>135700</v>
      </c>
      <c r="D60" s="11">
        <v>135700</v>
      </c>
      <c r="E60" s="11">
        <v>119600</v>
      </c>
      <c r="F60" s="11">
        <v>107500</v>
      </c>
      <c r="G60" s="11">
        <v>95500</v>
      </c>
      <c r="H60" s="11">
        <v>83400</v>
      </c>
      <c r="I60" s="11">
        <v>75400</v>
      </c>
      <c r="J60" s="11"/>
      <c r="K60" s="12"/>
      <c r="L60" s="12"/>
      <c r="M60" s="12"/>
      <c r="N60" s="12"/>
    </row>
    <row r="62" spans="1:14" x14ac:dyDescent="0.25">
      <c r="A62" s="199" t="s">
        <v>83</v>
      </c>
      <c r="B62" s="199"/>
      <c r="C62" s="199"/>
      <c r="D62" s="199"/>
      <c r="E62" s="199"/>
      <c r="F62" s="199"/>
      <c r="G62" s="199"/>
      <c r="H62" s="199"/>
      <c r="I62" s="199"/>
      <c r="J62" s="199"/>
      <c r="K62" s="199"/>
      <c r="L62" s="199"/>
      <c r="M62" s="199"/>
      <c r="N62" s="199"/>
    </row>
    <row r="64" spans="1:14" x14ac:dyDescent="0.25">
      <c r="A64" s="1" t="s">
        <v>70</v>
      </c>
      <c r="B64" s="12" t="s">
        <v>71</v>
      </c>
      <c r="C64" s="12" t="s">
        <v>72</v>
      </c>
      <c r="D64" s="1" t="s">
        <v>73</v>
      </c>
      <c r="E64" s="1" t="s">
        <v>74</v>
      </c>
      <c r="F64" s="1" t="s">
        <v>75</v>
      </c>
      <c r="G64" s="1" t="s">
        <v>76</v>
      </c>
      <c r="H64" s="1" t="s">
        <v>77</v>
      </c>
      <c r="I64" s="1" t="s">
        <v>78</v>
      </c>
      <c r="J64" s="1"/>
      <c r="K64" s="1"/>
      <c r="L64" s="1"/>
      <c r="M64" s="12"/>
      <c r="N64" s="12"/>
    </row>
    <row r="65" spans="1:14" x14ac:dyDescent="0.25">
      <c r="A65" s="1">
        <v>1</v>
      </c>
      <c r="B65" s="11">
        <f t="shared" ref="B65:C67" si="11">C66</f>
        <v>133900</v>
      </c>
      <c r="C65" s="11">
        <f t="shared" si="11"/>
        <v>126900</v>
      </c>
      <c r="D65" s="11">
        <v>117400</v>
      </c>
      <c r="E65" s="11">
        <v>103600</v>
      </c>
      <c r="F65" s="11">
        <v>93200</v>
      </c>
      <c r="G65" s="11">
        <v>82800</v>
      </c>
      <c r="H65" s="11">
        <v>72400</v>
      </c>
      <c r="I65" s="11">
        <v>65600</v>
      </c>
      <c r="J65" s="11"/>
      <c r="K65" s="12"/>
      <c r="L65" s="12"/>
      <c r="M65" s="12"/>
      <c r="N65" s="12"/>
    </row>
    <row r="66" spans="1:14" x14ac:dyDescent="0.25">
      <c r="A66" s="1">
        <v>2</v>
      </c>
      <c r="B66" s="11">
        <f t="shared" si="11"/>
        <v>140900</v>
      </c>
      <c r="C66" s="11">
        <f t="shared" si="11"/>
        <v>133900</v>
      </c>
      <c r="D66" s="11">
        <v>126900</v>
      </c>
      <c r="E66" s="11">
        <v>111900</v>
      </c>
      <c r="F66" s="11">
        <v>100600</v>
      </c>
      <c r="G66" s="11">
        <v>89400</v>
      </c>
      <c r="H66" s="11">
        <v>78200</v>
      </c>
      <c r="I66" s="11">
        <v>70700</v>
      </c>
      <c r="J66" s="11"/>
      <c r="K66" s="12"/>
      <c r="L66" s="12"/>
      <c r="M66" s="12"/>
      <c r="N66" s="12"/>
    </row>
    <row r="67" spans="1:14" x14ac:dyDescent="0.25">
      <c r="A67" s="1">
        <v>3</v>
      </c>
      <c r="B67" s="11">
        <f t="shared" si="11"/>
        <v>140900</v>
      </c>
      <c r="C67" s="11">
        <f t="shared" si="11"/>
        <v>140900</v>
      </c>
      <c r="D67" s="11">
        <v>133900</v>
      </c>
      <c r="E67" s="11">
        <v>118000</v>
      </c>
      <c r="F67" s="11">
        <v>106200</v>
      </c>
      <c r="G67" s="11">
        <v>94200</v>
      </c>
      <c r="H67" s="11">
        <v>82400</v>
      </c>
      <c r="I67" s="11">
        <v>74500</v>
      </c>
      <c r="J67" s="11"/>
      <c r="K67" s="12"/>
      <c r="L67" s="12"/>
      <c r="M67" s="12"/>
      <c r="N67" s="12"/>
    </row>
    <row r="68" spans="1:14" x14ac:dyDescent="0.25">
      <c r="A68" s="1">
        <v>4</v>
      </c>
      <c r="B68" s="11">
        <f>C68</f>
        <v>140900</v>
      </c>
      <c r="C68" s="11">
        <f>D68</f>
        <v>140900</v>
      </c>
      <c r="D68" s="11">
        <v>140900</v>
      </c>
      <c r="E68" s="11">
        <v>124200</v>
      </c>
      <c r="F68" s="11">
        <v>111700</v>
      </c>
      <c r="G68" s="11">
        <v>99200</v>
      </c>
      <c r="H68" s="11">
        <v>86600</v>
      </c>
      <c r="I68" s="11">
        <v>78300</v>
      </c>
      <c r="J68" s="11"/>
      <c r="K68" s="12"/>
      <c r="L68" s="12"/>
      <c r="M68" s="12"/>
      <c r="N68" s="12"/>
    </row>
    <row r="71" spans="1:14" x14ac:dyDescent="0.25">
      <c r="A71" s="200" t="s">
        <v>80</v>
      </c>
      <c r="B71" s="200"/>
      <c r="C71" s="200"/>
      <c r="D71" s="200"/>
      <c r="E71" s="200"/>
      <c r="F71" s="200"/>
      <c r="G71" s="200"/>
      <c r="H71" s="200"/>
      <c r="I71" s="200"/>
      <c r="J71" s="200"/>
      <c r="K71" s="200"/>
      <c r="L71" s="200"/>
      <c r="M71" s="200"/>
      <c r="N71" s="200"/>
    </row>
    <row r="72" spans="1:14" x14ac:dyDescent="0.25">
      <c r="A72" s="199" t="s">
        <v>82</v>
      </c>
      <c r="B72" s="199"/>
      <c r="C72" s="199"/>
      <c r="D72" s="199"/>
      <c r="E72" s="199"/>
      <c r="F72" s="199"/>
      <c r="G72" s="199"/>
      <c r="H72" s="199"/>
      <c r="I72" s="199"/>
      <c r="J72" s="199"/>
      <c r="K72" s="199"/>
      <c r="L72" s="199"/>
      <c r="M72" s="199"/>
      <c r="N72" s="199"/>
    </row>
    <row r="73" spans="1:14" x14ac:dyDescent="0.25">
      <c r="A73" s="1"/>
      <c r="B73" s="1"/>
      <c r="C73" s="1"/>
      <c r="D73" s="1"/>
      <c r="E73" s="1"/>
      <c r="F73" s="1"/>
      <c r="G73" s="1"/>
      <c r="H73" s="1"/>
      <c r="I73" s="1"/>
      <c r="J73" s="1"/>
      <c r="K73" s="1"/>
      <c r="L73" s="1"/>
      <c r="M73" s="12"/>
      <c r="N73" s="12"/>
    </row>
    <row r="74" spans="1:14" x14ac:dyDescent="0.25">
      <c r="A74" s="1" t="s">
        <v>80</v>
      </c>
      <c r="B74" s="12" t="s">
        <v>71</v>
      </c>
      <c r="C74" s="12" t="s">
        <v>72</v>
      </c>
      <c r="D74" s="1" t="s">
        <v>73</v>
      </c>
      <c r="E74" s="1" t="s">
        <v>74</v>
      </c>
      <c r="F74" s="1" t="s">
        <v>75</v>
      </c>
      <c r="G74" s="1" t="s">
        <v>76</v>
      </c>
      <c r="H74" s="1" t="s">
        <v>77</v>
      </c>
      <c r="I74" s="1" t="s">
        <v>78</v>
      </c>
      <c r="J74" s="1"/>
      <c r="K74" s="1"/>
      <c r="L74" s="1"/>
      <c r="M74" s="12"/>
      <c r="N74" s="12"/>
    </row>
    <row r="75" spans="1:14" x14ac:dyDescent="0.25">
      <c r="A75" s="1">
        <v>1</v>
      </c>
      <c r="B75" s="11">
        <f t="shared" ref="B75:C83" si="12">C76</f>
        <v>142300</v>
      </c>
      <c r="C75" s="11">
        <f t="shared" si="12"/>
        <v>135700</v>
      </c>
      <c r="D75" s="11">
        <v>128900</v>
      </c>
      <c r="E75" s="11">
        <v>113600</v>
      </c>
      <c r="F75" s="11">
        <v>102200</v>
      </c>
      <c r="G75" s="11">
        <v>90700</v>
      </c>
      <c r="H75" s="11">
        <f t="shared" ref="H75:H84" si="13">I75</f>
        <v>79300</v>
      </c>
      <c r="I75" s="11">
        <v>79300</v>
      </c>
      <c r="J75" s="11"/>
      <c r="K75" s="1"/>
      <c r="L75" s="1"/>
      <c r="M75" s="12"/>
      <c r="N75" s="12"/>
    </row>
    <row r="76" spans="1:14" x14ac:dyDescent="0.25">
      <c r="A76" s="1">
        <v>2</v>
      </c>
      <c r="B76" s="11">
        <f t="shared" si="12"/>
        <v>149000</v>
      </c>
      <c r="C76" s="11">
        <f t="shared" si="12"/>
        <v>142300</v>
      </c>
      <c r="D76" s="11">
        <v>135700</v>
      </c>
      <c r="E76" s="11">
        <v>119600</v>
      </c>
      <c r="F76" s="11">
        <v>107500</v>
      </c>
      <c r="G76" s="11">
        <v>95500</v>
      </c>
      <c r="H76" s="11">
        <f t="shared" si="13"/>
        <v>83400</v>
      </c>
      <c r="I76" s="11">
        <v>83400</v>
      </c>
      <c r="J76" s="11"/>
      <c r="K76" s="1"/>
      <c r="L76" s="1"/>
      <c r="M76" s="12"/>
      <c r="N76" s="12"/>
    </row>
    <row r="77" spans="1:14" x14ac:dyDescent="0.25">
      <c r="A77" s="1">
        <v>3</v>
      </c>
      <c r="B77" s="11">
        <f t="shared" si="12"/>
        <v>155700</v>
      </c>
      <c r="C77" s="11">
        <f t="shared" si="12"/>
        <v>149000</v>
      </c>
      <c r="D77" s="11">
        <v>142300</v>
      </c>
      <c r="E77" s="11">
        <v>125500</v>
      </c>
      <c r="F77" s="11">
        <v>112800</v>
      </c>
      <c r="G77" s="11">
        <v>100100</v>
      </c>
      <c r="H77" s="11">
        <f t="shared" si="13"/>
        <v>87400</v>
      </c>
      <c r="I77" s="11">
        <v>87400</v>
      </c>
      <c r="J77" s="11"/>
      <c r="K77" s="1"/>
      <c r="L77" s="1"/>
      <c r="M77" s="12"/>
      <c r="N77" s="12"/>
    </row>
    <row r="78" spans="1:14" x14ac:dyDescent="0.25">
      <c r="A78" s="1">
        <v>4</v>
      </c>
      <c r="B78" s="11">
        <f t="shared" si="12"/>
        <v>162500</v>
      </c>
      <c r="C78" s="11">
        <f t="shared" si="12"/>
        <v>155700</v>
      </c>
      <c r="D78" s="11">
        <v>149000</v>
      </c>
      <c r="E78" s="11">
        <v>131300</v>
      </c>
      <c r="F78" s="11">
        <v>118100</v>
      </c>
      <c r="G78" s="11">
        <v>104900</v>
      </c>
      <c r="H78" s="11">
        <f t="shared" si="13"/>
        <v>91600</v>
      </c>
      <c r="I78" s="11">
        <v>91600</v>
      </c>
      <c r="J78" s="11"/>
      <c r="K78" s="1"/>
      <c r="L78" s="1"/>
      <c r="M78" s="12"/>
      <c r="N78" s="12"/>
    </row>
    <row r="79" spans="1:14" x14ac:dyDescent="0.25">
      <c r="A79" s="1">
        <v>5</v>
      </c>
      <c r="B79" s="11">
        <f t="shared" si="12"/>
        <v>169200</v>
      </c>
      <c r="C79" s="11">
        <f t="shared" si="12"/>
        <v>162500</v>
      </c>
      <c r="D79" s="11">
        <v>155700</v>
      </c>
      <c r="E79" s="11">
        <v>137300</v>
      </c>
      <c r="F79" s="11">
        <v>123400</v>
      </c>
      <c r="G79" s="11">
        <v>109500</v>
      </c>
      <c r="H79" s="11">
        <f t="shared" si="13"/>
        <v>95600</v>
      </c>
      <c r="I79" s="11">
        <v>95600</v>
      </c>
      <c r="J79" s="11"/>
      <c r="K79" s="1"/>
      <c r="L79" s="1"/>
      <c r="M79" s="12"/>
      <c r="N79" s="12"/>
    </row>
    <row r="80" spans="1:14" x14ac:dyDescent="0.25">
      <c r="A80" s="1">
        <v>6</v>
      </c>
      <c r="B80" s="11">
        <f t="shared" si="12"/>
        <v>176200</v>
      </c>
      <c r="C80" s="11">
        <f t="shared" si="12"/>
        <v>169200</v>
      </c>
      <c r="D80" s="11">
        <v>162500</v>
      </c>
      <c r="E80" s="11">
        <v>143200</v>
      </c>
      <c r="F80" s="11">
        <v>128800</v>
      </c>
      <c r="G80" s="11">
        <f>H80</f>
        <v>114200</v>
      </c>
      <c r="H80" s="11">
        <f t="shared" si="13"/>
        <v>114200</v>
      </c>
      <c r="I80" s="11">
        <v>114200</v>
      </c>
      <c r="J80" s="11"/>
      <c r="K80" s="1"/>
      <c r="L80" s="1"/>
      <c r="M80" s="12"/>
      <c r="N80" s="12"/>
    </row>
    <row r="81" spans="1:14" x14ac:dyDescent="0.25">
      <c r="A81" s="1">
        <v>7</v>
      </c>
      <c r="B81" s="11">
        <f t="shared" si="12"/>
        <v>183400</v>
      </c>
      <c r="C81" s="11">
        <f t="shared" si="12"/>
        <v>176200</v>
      </c>
      <c r="D81" s="11">
        <v>169200</v>
      </c>
      <c r="E81" s="11">
        <v>149100</v>
      </c>
      <c r="F81" s="11">
        <v>134000</v>
      </c>
      <c r="G81" s="11">
        <f>H81</f>
        <v>119000</v>
      </c>
      <c r="H81" s="11">
        <f t="shared" si="13"/>
        <v>119000</v>
      </c>
      <c r="I81" s="11">
        <v>119000</v>
      </c>
      <c r="J81" s="11"/>
      <c r="K81" s="1"/>
      <c r="L81" s="1"/>
      <c r="M81" s="12"/>
      <c r="N81" s="12"/>
    </row>
    <row r="82" spans="1:14" x14ac:dyDescent="0.25">
      <c r="A82" s="1">
        <v>8</v>
      </c>
      <c r="B82" s="11">
        <f t="shared" si="12"/>
        <v>191100</v>
      </c>
      <c r="C82" s="11">
        <f t="shared" si="12"/>
        <v>183400</v>
      </c>
      <c r="D82" s="11">
        <v>176200</v>
      </c>
      <c r="E82" s="11">
        <v>155200</v>
      </c>
      <c r="F82" s="11">
        <v>139500</v>
      </c>
      <c r="G82" s="11">
        <f>H82</f>
        <v>123800</v>
      </c>
      <c r="H82" s="11">
        <f t="shared" si="13"/>
        <v>123800</v>
      </c>
      <c r="I82" s="11">
        <v>123800</v>
      </c>
      <c r="J82" s="11"/>
      <c r="K82" s="1"/>
      <c r="L82" s="1"/>
      <c r="M82" s="12"/>
      <c r="N82" s="12"/>
    </row>
    <row r="83" spans="1:14" x14ac:dyDescent="0.25">
      <c r="A83" s="1">
        <v>9</v>
      </c>
      <c r="B83" s="11">
        <f t="shared" si="12"/>
        <v>191100</v>
      </c>
      <c r="C83" s="11">
        <f t="shared" si="12"/>
        <v>191100</v>
      </c>
      <c r="D83" s="11">
        <v>183400</v>
      </c>
      <c r="E83" s="11">
        <v>161600</v>
      </c>
      <c r="F83" s="11">
        <v>145200</v>
      </c>
      <c r="G83" s="11">
        <f>H83</f>
        <v>128900</v>
      </c>
      <c r="H83" s="11">
        <f t="shared" si="13"/>
        <v>128900</v>
      </c>
      <c r="I83" s="11">
        <v>128900</v>
      </c>
      <c r="J83" s="11"/>
      <c r="K83" s="1"/>
      <c r="L83" s="1"/>
      <c r="M83" s="12"/>
      <c r="N83" s="12"/>
    </row>
    <row r="84" spans="1:14" x14ac:dyDescent="0.25">
      <c r="A84" s="1">
        <v>10</v>
      </c>
      <c r="B84" s="11">
        <f>C84</f>
        <v>191100</v>
      </c>
      <c r="C84" s="11">
        <f>D84</f>
        <v>191100</v>
      </c>
      <c r="D84" s="11">
        <v>191100</v>
      </c>
      <c r="E84" s="11">
        <v>168300</v>
      </c>
      <c r="F84" s="11">
        <v>151200</v>
      </c>
      <c r="G84" s="11">
        <f>H84</f>
        <v>134100</v>
      </c>
      <c r="H84" s="11">
        <f t="shared" si="13"/>
        <v>134100</v>
      </c>
      <c r="I84" s="11">
        <v>134100</v>
      </c>
      <c r="J84" s="11"/>
      <c r="K84" s="1"/>
      <c r="L84" s="1"/>
      <c r="M84" s="12"/>
      <c r="N84" s="12"/>
    </row>
    <row r="85" spans="1:14" x14ac:dyDescent="0.25">
      <c r="A85" s="1"/>
      <c r="B85" s="1"/>
      <c r="C85" s="1"/>
      <c r="D85" s="1"/>
      <c r="E85" s="1"/>
      <c r="F85" s="1"/>
      <c r="G85" s="1"/>
      <c r="H85" s="1"/>
      <c r="I85" s="1"/>
      <c r="J85" s="1"/>
      <c r="K85" s="1"/>
      <c r="L85" s="1"/>
      <c r="M85" s="12"/>
      <c r="N85" s="12"/>
    </row>
    <row r="86" spans="1:14" x14ac:dyDescent="0.25">
      <c r="A86" s="200" t="s">
        <v>80</v>
      </c>
      <c r="B86" s="200"/>
      <c r="C86" s="200"/>
      <c r="D86" s="200"/>
      <c r="E86" s="200"/>
      <c r="F86" s="200"/>
      <c r="G86" s="200"/>
      <c r="H86" s="200"/>
      <c r="I86" s="200"/>
      <c r="J86" s="200"/>
      <c r="K86" s="200"/>
      <c r="L86" s="200"/>
      <c r="M86" s="200"/>
      <c r="N86" s="200"/>
    </row>
    <row r="87" spans="1:14" x14ac:dyDescent="0.25">
      <c r="A87" s="199" t="s">
        <v>83</v>
      </c>
      <c r="B87" s="199"/>
      <c r="C87" s="199"/>
      <c r="D87" s="199"/>
      <c r="E87" s="199"/>
      <c r="F87" s="199"/>
      <c r="G87" s="199"/>
      <c r="H87" s="199"/>
      <c r="I87" s="199"/>
      <c r="J87" s="199"/>
      <c r="K87" s="199"/>
      <c r="L87" s="199"/>
      <c r="M87" s="199"/>
      <c r="N87" s="199"/>
    </row>
    <row r="88" spans="1:14" x14ac:dyDescent="0.25">
      <c r="A88" s="1"/>
      <c r="B88" s="1"/>
      <c r="C88" s="1"/>
      <c r="D88" s="1"/>
      <c r="E88" s="1"/>
      <c r="F88" s="1"/>
      <c r="G88" s="1"/>
      <c r="H88" s="1"/>
      <c r="I88" s="1"/>
      <c r="J88" s="1"/>
      <c r="K88" s="1"/>
      <c r="L88" s="1"/>
      <c r="M88" s="12"/>
      <c r="N88" s="12"/>
    </row>
    <row r="89" spans="1:14" x14ac:dyDescent="0.25">
      <c r="A89" s="1" t="s">
        <v>80</v>
      </c>
      <c r="B89" s="12" t="s">
        <v>71</v>
      </c>
      <c r="C89" s="12" t="s">
        <v>72</v>
      </c>
      <c r="D89" s="1" t="s">
        <v>73</v>
      </c>
      <c r="E89" s="1" t="s">
        <v>74</v>
      </c>
      <c r="F89" s="1" t="s">
        <v>75</v>
      </c>
      <c r="G89" s="1" t="s">
        <v>76</v>
      </c>
      <c r="H89" s="1" t="s">
        <v>77</v>
      </c>
      <c r="I89" s="1" t="s">
        <v>78</v>
      </c>
      <c r="J89" s="1"/>
      <c r="K89" s="1"/>
      <c r="L89" s="1"/>
      <c r="M89" s="12"/>
      <c r="N89" s="12"/>
    </row>
    <row r="90" spans="1:14" x14ac:dyDescent="0.25">
      <c r="A90" s="1">
        <v>1</v>
      </c>
      <c r="B90" s="11">
        <f t="shared" ref="B90:C98" si="14">C91</f>
        <v>147900</v>
      </c>
      <c r="C90" s="11">
        <f t="shared" si="14"/>
        <v>140900</v>
      </c>
      <c r="D90" s="11">
        <v>133900</v>
      </c>
      <c r="E90" s="11">
        <v>118000</v>
      </c>
      <c r="F90" s="11">
        <v>106200</v>
      </c>
      <c r="G90" s="11">
        <v>94200</v>
      </c>
      <c r="H90" s="11">
        <f t="shared" ref="H90:H99" si="15">I90</f>
        <v>82400</v>
      </c>
      <c r="I90" s="11">
        <v>82400</v>
      </c>
      <c r="J90" s="11"/>
      <c r="K90" s="1"/>
      <c r="L90" s="1"/>
      <c r="M90" s="12"/>
      <c r="N90" s="12"/>
    </row>
    <row r="91" spans="1:14" x14ac:dyDescent="0.25">
      <c r="A91" s="1">
        <v>2</v>
      </c>
      <c r="B91" s="11">
        <f t="shared" si="14"/>
        <v>154900</v>
      </c>
      <c r="C91" s="11">
        <f t="shared" si="14"/>
        <v>147900</v>
      </c>
      <c r="D91" s="11">
        <v>140900</v>
      </c>
      <c r="E91" s="11">
        <v>124200</v>
      </c>
      <c r="F91" s="11">
        <v>111700</v>
      </c>
      <c r="G91" s="11">
        <v>99200</v>
      </c>
      <c r="H91" s="11">
        <f t="shared" si="15"/>
        <v>86600</v>
      </c>
      <c r="I91" s="11">
        <v>86600</v>
      </c>
      <c r="J91" s="11"/>
      <c r="K91" s="1"/>
      <c r="L91" s="1"/>
      <c r="M91" s="12"/>
      <c r="N91" s="12"/>
    </row>
    <row r="92" spans="1:14" x14ac:dyDescent="0.25">
      <c r="A92" s="1">
        <v>3</v>
      </c>
      <c r="B92" s="11">
        <f t="shared" si="14"/>
        <v>161900</v>
      </c>
      <c r="C92" s="11">
        <f t="shared" si="14"/>
        <v>154900</v>
      </c>
      <c r="D92" s="11">
        <v>147900</v>
      </c>
      <c r="E92" s="11">
        <v>130300</v>
      </c>
      <c r="F92" s="11">
        <v>117200</v>
      </c>
      <c r="G92" s="11">
        <v>104000</v>
      </c>
      <c r="H92" s="11">
        <f t="shared" si="15"/>
        <v>90800</v>
      </c>
      <c r="I92" s="11">
        <v>90800</v>
      </c>
      <c r="J92" s="11"/>
      <c r="K92" s="1"/>
      <c r="L92" s="1"/>
      <c r="M92" s="12"/>
      <c r="N92" s="12"/>
    </row>
    <row r="93" spans="1:14" x14ac:dyDescent="0.25">
      <c r="A93" s="1">
        <v>4</v>
      </c>
      <c r="B93" s="11">
        <f t="shared" si="14"/>
        <v>168900</v>
      </c>
      <c r="C93" s="11">
        <f t="shared" si="14"/>
        <v>161900</v>
      </c>
      <c r="D93" s="11">
        <v>154900</v>
      </c>
      <c r="E93" s="11">
        <v>136500</v>
      </c>
      <c r="F93" s="11">
        <v>122700</v>
      </c>
      <c r="G93" s="11">
        <v>108900</v>
      </c>
      <c r="H93" s="11">
        <f t="shared" si="15"/>
        <v>95100</v>
      </c>
      <c r="I93" s="11">
        <v>95100</v>
      </c>
      <c r="J93" s="11"/>
      <c r="K93" s="1"/>
      <c r="L93" s="1"/>
      <c r="M93" s="12"/>
      <c r="N93" s="12"/>
    </row>
    <row r="94" spans="1:14" x14ac:dyDescent="0.25">
      <c r="A94" s="1">
        <v>5</v>
      </c>
      <c r="B94" s="11">
        <f t="shared" si="14"/>
        <v>175900</v>
      </c>
      <c r="C94" s="11">
        <f t="shared" si="14"/>
        <v>168900</v>
      </c>
      <c r="D94" s="11">
        <v>161900</v>
      </c>
      <c r="E94" s="11">
        <v>142700</v>
      </c>
      <c r="F94" s="11">
        <v>128200</v>
      </c>
      <c r="G94" s="11">
        <v>113800</v>
      </c>
      <c r="H94" s="11">
        <f t="shared" si="15"/>
        <v>99300</v>
      </c>
      <c r="I94" s="11">
        <v>99300</v>
      </c>
      <c r="J94" s="11"/>
      <c r="K94" s="1"/>
      <c r="L94" s="1"/>
      <c r="M94" s="12"/>
      <c r="N94" s="12"/>
    </row>
    <row r="95" spans="1:14" x14ac:dyDescent="0.25">
      <c r="A95" s="1">
        <v>6</v>
      </c>
      <c r="B95" s="11">
        <f t="shared" si="14"/>
        <v>183100</v>
      </c>
      <c r="C95" s="11">
        <f t="shared" si="14"/>
        <v>175900</v>
      </c>
      <c r="D95" s="11">
        <v>168900</v>
      </c>
      <c r="E95" s="11">
        <v>148800</v>
      </c>
      <c r="F95" s="11">
        <v>133700</v>
      </c>
      <c r="G95" s="11">
        <f>H95</f>
        <v>118700</v>
      </c>
      <c r="H95" s="11">
        <f t="shared" si="15"/>
        <v>118700</v>
      </c>
      <c r="I95" s="11">
        <v>118700</v>
      </c>
      <c r="J95" s="11"/>
      <c r="K95" s="1"/>
      <c r="L95" s="1"/>
      <c r="M95" s="12"/>
      <c r="N95" s="12"/>
    </row>
    <row r="96" spans="1:14" x14ac:dyDescent="0.25">
      <c r="A96" s="1">
        <v>7</v>
      </c>
      <c r="B96" s="11">
        <f t="shared" si="14"/>
        <v>190700</v>
      </c>
      <c r="C96" s="11">
        <f t="shared" si="14"/>
        <v>183100</v>
      </c>
      <c r="D96" s="11">
        <v>175900</v>
      </c>
      <c r="E96" s="11">
        <v>154900</v>
      </c>
      <c r="F96" s="11">
        <v>139300</v>
      </c>
      <c r="G96" s="11">
        <f>H96</f>
        <v>123600</v>
      </c>
      <c r="H96" s="11">
        <f t="shared" si="15"/>
        <v>123600</v>
      </c>
      <c r="I96" s="11">
        <v>123600</v>
      </c>
      <c r="J96" s="11"/>
      <c r="K96" s="1"/>
      <c r="L96" s="1"/>
      <c r="M96" s="12"/>
      <c r="N96" s="12"/>
    </row>
    <row r="97" spans="1:12" x14ac:dyDescent="0.25">
      <c r="A97" s="1">
        <v>8</v>
      </c>
      <c r="B97" s="11">
        <f t="shared" si="14"/>
        <v>198600</v>
      </c>
      <c r="C97" s="11">
        <f t="shared" si="14"/>
        <v>190700</v>
      </c>
      <c r="D97" s="11">
        <v>183100</v>
      </c>
      <c r="E97" s="11">
        <v>161300</v>
      </c>
      <c r="F97" s="11">
        <v>144900</v>
      </c>
      <c r="G97" s="11">
        <f>H97</f>
        <v>128600</v>
      </c>
      <c r="H97" s="11">
        <f t="shared" si="15"/>
        <v>128600</v>
      </c>
      <c r="I97" s="11">
        <v>128600</v>
      </c>
      <c r="J97" s="11"/>
      <c r="K97" s="1"/>
      <c r="L97" s="1"/>
    </row>
    <row r="98" spans="1:12" x14ac:dyDescent="0.25">
      <c r="A98" s="1">
        <v>9</v>
      </c>
      <c r="B98" s="11">
        <f t="shared" si="14"/>
        <v>198600</v>
      </c>
      <c r="C98" s="11">
        <f t="shared" si="14"/>
        <v>198600</v>
      </c>
      <c r="D98" s="11">
        <v>190700</v>
      </c>
      <c r="E98" s="11">
        <v>168000</v>
      </c>
      <c r="F98" s="11">
        <v>150900</v>
      </c>
      <c r="G98" s="11">
        <f>H98</f>
        <v>133900</v>
      </c>
      <c r="H98" s="11">
        <f t="shared" si="15"/>
        <v>133900</v>
      </c>
      <c r="I98" s="11">
        <v>133900</v>
      </c>
      <c r="J98" s="11"/>
      <c r="K98" s="1"/>
      <c r="L98" s="1"/>
    </row>
    <row r="99" spans="1:12" x14ac:dyDescent="0.25">
      <c r="A99" s="1">
        <v>10</v>
      </c>
      <c r="B99" s="11">
        <f>C99</f>
        <v>198600</v>
      </c>
      <c r="C99" s="11">
        <f>D99</f>
        <v>198600</v>
      </c>
      <c r="D99" s="11">
        <v>198600</v>
      </c>
      <c r="E99" s="11">
        <v>174900</v>
      </c>
      <c r="F99" s="11">
        <v>157100</v>
      </c>
      <c r="G99" s="11">
        <f>H99</f>
        <v>139400</v>
      </c>
      <c r="H99" s="11">
        <f t="shared" si="15"/>
        <v>139400</v>
      </c>
      <c r="I99" s="11">
        <v>139400</v>
      </c>
      <c r="J99" s="11"/>
      <c r="K99" s="1"/>
      <c r="L99" s="1"/>
    </row>
  </sheetData>
  <sheetProtection algorithmName="SHA-512" hashValue="cIaLHPKCNOxEg3e9MOo5H7C+bLi9T0DspFgX3ql09kGYofN8SPHrGfOOQvu652UZ6PDstTxj1I1erqrRJyya+A==" saltValue="BU1kXm4WqxrNhzDX4gGZVw==" spinCount="100000" sheet="1" objects="1" scenarios="1"/>
  <mergeCells count="16">
    <mergeCell ref="A72:N72"/>
    <mergeCell ref="A86:N86"/>
    <mergeCell ref="A87:N87"/>
    <mergeCell ref="A51:N51"/>
    <mergeCell ref="A52:N52"/>
    <mergeCell ref="A54:N54"/>
    <mergeCell ref="A62:N62"/>
    <mergeCell ref="A71:N71"/>
    <mergeCell ref="A35:N35"/>
    <mergeCell ref="A36:N36"/>
    <mergeCell ref="A1:N1"/>
    <mergeCell ref="A3:N3"/>
    <mergeCell ref="A4:N4"/>
    <mergeCell ref="A12:N12"/>
    <mergeCell ref="A20:N20"/>
    <mergeCell ref="A21:N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N59"/>
  <sheetViews>
    <sheetView workbookViewId="0">
      <selection activeCell="H55" sqref="H55"/>
    </sheetView>
  </sheetViews>
  <sheetFormatPr defaultColWidth="8.85546875" defaultRowHeight="15" x14ac:dyDescent="0.25"/>
  <cols>
    <col min="1" max="1" width="13.28515625" bestFit="1" customWidth="1"/>
    <col min="2" max="2" width="28.42578125" bestFit="1" customWidth="1"/>
    <col min="3" max="4" width="25.85546875" customWidth="1"/>
    <col min="5" max="5" width="27.140625" bestFit="1" customWidth="1"/>
    <col min="6" max="6" width="19" bestFit="1" customWidth="1"/>
    <col min="7" max="7" width="7.42578125" bestFit="1" customWidth="1"/>
    <col min="8" max="8" width="19.7109375" bestFit="1" customWidth="1"/>
    <col min="9" max="9" width="27.28515625" bestFit="1" customWidth="1"/>
    <col min="10" max="10" width="31.42578125" bestFit="1" customWidth="1"/>
    <col min="14" max="14" width="18.42578125" bestFit="1" customWidth="1"/>
  </cols>
  <sheetData>
    <row r="1" spans="1:14" x14ac:dyDescent="0.25">
      <c r="A1" s="3" t="s">
        <v>85</v>
      </c>
      <c r="B1" s="3" t="s">
        <v>86</v>
      </c>
      <c r="C1" s="3" t="s">
        <v>87</v>
      </c>
      <c r="D1" s="3"/>
      <c r="E1" s="3" t="s">
        <v>88</v>
      </c>
      <c r="F1" s="3" t="s">
        <v>89</v>
      </c>
      <c r="G1" s="12"/>
      <c r="H1" s="3" t="s">
        <v>90</v>
      </c>
      <c r="I1" s="3" t="s">
        <v>91</v>
      </c>
      <c r="J1" s="3" t="s">
        <v>92</v>
      </c>
      <c r="K1" s="3"/>
      <c r="L1" s="4" t="s">
        <v>57</v>
      </c>
      <c r="M1" s="4" t="s">
        <v>93</v>
      </c>
      <c r="N1" s="3" t="s">
        <v>94</v>
      </c>
    </row>
    <row r="2" spans="1:14" x14ac:dyDescent="0.25">
      <c r="A2" s="12" t="s">
        <v>68</v>
      </c>
      <c r="B2" s="12" t="s">
        <v>95</v>
      </c>
      <c r="C2" s="12" t="s">
        <v>96</v>
      </c>
      <c r="D2" s="12"/>
      <c r="E2" s="1">
        <v>13</v>
      </c>
      <c r="F2" s="1">
        <v>1</v>
      </c>
      <c r="G2" s="12"/>
      <c r="H2" s="2" t="s">
        <v>97</v>
      </c>
      <c r="I2" s="7">
        <v>0</v>
      </c>
      <c r="J2" s="7">
        <v>0</v>
      </c>
      <c r="K2" s="12"/>
      <c r="L2" s="1" t="s">
        <v>78</v>
      </c>
      <c r="M2" s="1" t="s">
        <v>98</v>
      </c>
      <c r="N2" s="12" t="s">
        <v>76</v>
      </c>
    </row>
    <row r="3" spans="1:14" x14ac:dyDescent="0.25">
      <c r="A3" s="12" t="s">
        <v>99</v>
      </c>
      <c r="B3" s="12" t="s">
        <v>100</v>
      </c>
      <c r="C3" s="12" t="s">
        <v>101</v>
      </c>
      <c r="D3" s="12"/>
      <c r="E3" s="1">
        <v>16</v>
      </c>
      <c r="F3" s="1">
        <v>2</v>
      </c>
      <c r="G3" s="12"/>
      <c r="H3" s="2" t="s">
        <v>102</v>
      </c>
      <c r="I3" s="7">
        <v>0</v>
      </c>
      <c r="J3" s="7">
        <v>0</v>
      </c>
      <c r="K3" s="12"/>
      <c r="L3" s="1" t="s">
        <v>77</v>
      </c>
      <c r="M3" s="1" t="s">
        <v>103</v>
      </c>
      <c r="N3" s="12" t="s">
        <v>75</v>
      </c>
    </row>
    <row r="4" spans="1:14" x14ac:dyDescent="0.25">
      <c r="A4" s="12"/>
      <c r="B4" s="12"/>
      <c r="C4" s="12" t="s">
        <v>104</v>
      </c>
      <c r="D4" s="12"/>
      <c r="E4" s="1">
        <v>17</v>
      </c>
      <c r="F4" s="1">
        <v>3</v>
      </c>
      <c r="G4" s="12"/>
      <c r="H4" s="2" t="s">
        <v>105</v>
      </c>
      <c r="I4" s="7">
        <v>0</v>
      </c>
      <c r="J4" s="7">
        <v>0</v>
      </c>
      <c r="K4" s="12"/>
      <c r="L4" s="1" t="s">
        <v>76</v>
      </c>
      <c r="M4" s="1" t="s">
        <v>106</v>
      </c>
      <c r="N4" s="12" t="s">
        <v>74</v>
      </c>
    </row>
    <row r="5" spans="1:14" x14ac:dyDescent="0.25">
      <c r="A5" s="12"/>
      <c r="B5" s="12"/>
      <c r="C5" s="12" t="s">
        <v>107</v>
      </c>
      <c r="D5" s="12"/>
      <c r="E5" s="1">
        <v>26</v>
      </c>
      <c r="F5" s="1">
        <v>4</v>
      </c>
      <c r="G5" s="12"/>
      <c r="H5" s="2" t="s">
        <v>108</v>
      </c>
      <c r="I5" s="7">
        <v>0</v>
      </c>
      <c r="J5" s="7">
        <v>0</v>
      </c>
      <c r="K5" s="12"/>
      <c r="L5" s="1" t="s">
        <v>75</v>
      </c>
      <c r="M5" s="1" t="s">
        <v>109</v>
      </c>
      <c r="N5" s="12" t="s">
        <v>73</v>
      </c>
    </row>
    <row r="6" spans="1:14" x14ac:dyDescent="0.25">
      <c r="A6" s="12"/>
      <c r="B6" s="12"/>
      <c r="C6" s="12" t="s">
        <v>110</v>
      </c>
      <c r="D6" s="12"/>
      <c r="E6" s="1"/>
      <c r="F6" s="1">
        <v>5</v>
      </c>
      <c r="G6" s="12"/>
      <c r="H6" s="2" t="s">
        <v>111</v>
      </c>
      <c r="I6" s="7">
        <v>0</v>
      </c>
      <c r="J6" s="7">
        <v>0</v>
      </c>
      <c r="K6" s="12"/>
      <c r="L6" s="1" t="s">
        <v>74</v>
      </c>
      <c r="M6" s="1" t="s">
        <v>112</v>
      </c>
      <c r="N6" s="12" t="s">
        <v>72</v>
      </c>
    </row>
    <row r="7" spans="1:14" x14ac:dyDescent="0.25">
      <c r="A7" s="12"/>
      <c r="B7" s="12"/>
      <c r="C7" s="12" t="s">
        <v>113</v>
      </c>
      <c r="D7" s="12"/>
      <c r="E7" s="1"/>
      <c r="F7" s="1">
        <v>6</v>
      </c>
      <c r="G7" s="12"/>
      <c r="H7" s="2" t="s">
        <v>114</v>
      </c>
      <c r="I7" s="7">
        <v>0</v>
      </c>
      <c r="J7" s="7">
        <v>0</v>
      </c>
      <c r="K7" s="12"/>
      <c r="L7" s="1" t="s">
        <v>73</v>
      </c>
      <c r="M7" s="1" t="s">
        <v>115</v>
      </c>
      <c r="N7" s="12" t="s">
        <v>71</v>
      </c>
    </row>
    <row r="8" spans="1:14" x14ac:dyDescent="0.25">
      <c r="A8" s="12"/>
      <c r="B8" s="12"/>
      <c r="C8" s="12" t="s">
        <v>116</v>
      </c>
      <c r="D8" s="12"/>
      <c r="E8" s="1"/>
      <c r="F8" s="1">
        <v>7</v>
      </c>
      <c r="G8" s="12"/>
      <c r="H8" s="2" t="s">
        <v>117</v>
      </c>
      <c r="I8" s="7">
        <v>0</v>
      </c>
      <c r="J8" s="7">
        <v>0</v>
      </c>
      <c r="K8" s="12"/>
      <c r="L8" s="1"/>
      <c r="M8" s="12"/>
      <c r="N8" s="12"/>
    </row>
    <row r="9" spans="1:14" x14ac:dyDescent="0.25">
      <c r="A9" s="12"/>
      <c r="B9" s="12"/>
      <c r="C9" s="12" t="s">
        <v>118</v>
      </c>
      <c r="D9" s="12"/>
      <c r="E9" s="1"/>
      <c r="F9" s="1">
        <v>8</v>
      </c>
      <c r="G9" s="12"/>
      <c r="H9" s="2" t="s">
        <v>119</v>
      </c>
      <c r="I9" s="7">
        <v>0</v>
      </c>
      <c r="J9" s="7">
        <v>0</v>
      </c>
      <c r="K9" s="12"/>
      <c r="L9" s="12"/>
      <c r="M9" s="12"/>
      <c r="N9" s="12"/>
    </row>
    <row r="10" spans="1:14" x14ac:dyDescent="0.25">
      <c r="A10" s="12"/>
      <c r="B10" s="12"/>
      <c r="C10" s="12" t="s">
        <v>120</v>
      </c>
      <c r="D10" s="12"/>
      <c r="E10" s="1"/>
      <c r="F10" s="1">
        <v>9</v>
      </c>
      <c r="G10" s="12"/>
      <c r="H10" s="2" t="s">
        <v>121</v>
      </c>
      <c r="I10" s="7">
        <v>0</v>
      </c>
      <c r="J10" s="7">
        <v>0</v>
      </c>
      <c r="K10" s="12"/>
      <c r="L10" s="12"/>
      <c r="M10" s="12"/>
      <c r="N10" s="12"/>
    </row>
    <row r="11" spans="1:14" x14ac:dyDescent="0.25">
      <c r="A11" s="12"/>
      <c r="B11" s="12"/>
      <c r="C11" s="12" t="s">
        <v>122</v>
      </c>
      <c r="D11" s="12"/>
      <c r="E11" s="1"/>
      <c r="F11" s="1">
        <v>10</v>
      </c>
      <c r="G11" s="12"/>
      <c r="H11" s="2" t="s">
        <v>123</v>
      </c>
      <c r="I11" s="7">
        <v>0</v>
      </c>
      <c r="J11" s="7">
        <v>0</v>
      </c>
      <c r="K11" s="12"/>
      <c r="L11" s="12"/>
      <c r="M11" s="12"/>
      <c r="N11" s="12"/>
    </row>
    <row r="12" spans="1:14" x14ac:dyDescent="0.25">
      <c r="A12" s="12"/>
      <c r="B12" s="12"/>
      <c r="C12" s="12" t="s">
        <v>124</v>
      </c>
      <c r="D12" s="12"/>
      <c r="E12" s="1"/>
      <c r="F12" s="1">
        <v>11</v>
      </c>
      <c r="G12" s="12"/>
      <c r="H12" s="2" t="s">
        <v>125</v>
      </c>
      <c r="I12" s="7">
        <v>0</v>
      </c>
      <c r="J12" s="7">
        <v>0</v>
      </c>
      <c r="K12" s="12"/>
      <c r="L12" s="12"/>
      <c r="M12" s="12"/>
      <c r="N12" s="12"/>
    </row>
    <row r="13" spans="1:14" x14ac:dyDescent="0.25">
      <c r="A13" s="12"/>
      <c r="B13" s="12"/>
      <c r="C13" s="12" t="s">
        <v>126</v>
      </c>
      <c r="D13" s="12"/>
      <c r="E13" s="1"/>
      <c r="F13" s="1">
        <v>12</v>
      </c>
      <c r="G13" s="12"/>
      <c r="H13" s="2" t="s">
        <v>127</v>
      </c>
      <c r="I13" s="7">
        <v>0</v>
      </c>
      <c r="J13" s="7">
        <v>0</v>
      </c>
      <c r="K13" s="12"/>
      <c r="L13" s="12"/>
      <c r="M13" s="12"/>
      <c r="N13" s="12"/>
    </row>
    <row r="14" spans="1:14" x14ac:dyDescent="0.25">
      <c r="A14" s="12"/>
      <c r="B14" s="12"/>
      <c r="C14" s="12" t="s">
        <v>128</v>
      </c>
      <c r="D14" s="12"/>
      <c r="E14" s="1"/>
      <c r="F14" s="1">
        <v>13</v>
      </c>
      <c r="G14" s="12"/>
      <c r="H14" s="2" t="s">
        <v>129</v>
      </c>
      <c r="I14" s="7">
        <v>0</v>
      </c>
      <c r="J14" s="7">
        <v>0</v>
      </c>
      <c r="K14" s="12"/>
      <c r="L14" s="12"/>
      <c r="M14" s="12"/>
      <c r="N14" s="12"/>
    </row>
    <row r="15" spans="1:14" x14ac:dyDescent="0.25">
      <c r="A15" s="12"/>
      <c r="B15" s="12"/>
      <c r="C15" s="12" t="s">
        <v>130</v>
      </c>
      <c r="D15" s="12"/>
      <c r="E15" s="1"/>
      <c r="F15" s="1">
        <v>14</v>
      </c>
      <c r="G15" s="12"/>
      <c r="H15" s="2" t="s">
        <v>131</v>
      </c>
      <c r="I15" s="7">
        <v>0</v>
      </c>
      <c r="J15" s="7">
        <v>0</v>
      </c>
      <c r="K15" s="12"/>
      <c r="L15" s="12"/>
      <c r="M15" s="12"/>
      <c r="N15" s="12"/>
    </row>
    <row r="16" spans="1:14" x14ac:dyDescent="0.25">
      <c r="A16" s="12"/>
      <c r="B16" s="12"/>
      <c r="C16" s="12" t="s">
        <v>132</v>
      </c>
      <c r="D16" s="12"/>
      <c r="E16" s="1"/>
      <c r="F16" s="1">
        <v>15</v>
      </c>
      <c r="G16" s="12"/>
      <c r="H16" s="12"/>
      <c r="I16" s="12"/>
      <c r="J16" s="12"/>
      <c r="K16" s="12"/>
      <c r="L16" s="12"/>
      <c r="M16" s="12"/>
      <c r="N16" s="12"/>
    </row>
    <row r="17" spans="3:8" x14ac:dyDescent="0.25">
      <c r="C17" s="12" t="s">
        <v>133</v>
      </c>
      <c r="D17" s="12"/>
      <c r="E17" s="1"/>
      <c r="F17" s="1">
        <v>16</v>
      </c>
      <c r="G17" s="12"/>
      <c r="H17" s="2"/>
    </row>
    <row r="18" spans="3:8" x14ac:dyDescent="0.25">
      <c r="C18" s="12" t="s">
        <v>134</v>
      </c>
      <c r="D18" s="12"/>
      <c r="E18" s="1"/>
      <c r="F18" s="1">
        <v>17</v>
      </c>
      <c r="G18" s="12"/>
      <c r="H18" s="2"/>
    </row>
    <row r="19" spans="3:8" x14ac:dyDescent="0.25">
      <c r="C19" s="12" t="s">
        <v>135</v>
      </c>
      <c r="D19" s="12"/>
      <c r="E19" s="1"/>
      <c r="F19" s="1">
        <v>18</v>
      </c>
      <c r="G19" s="12"/>
      <c r="H19" s="2"/>
    </row>
    <row r="20" spans="3:8" x14ac:dyDescent="0.25">
      <c r="C20" s="12" t="s">
        <v>136</v>
      </c>
      <c r="D20" s="12"/>
      <c r="E20" s="1"/>
      <c r="F20" s="1">
        <v>19</v>
      </c>
      <c r="G20" s="12"/>
      <c r="H20" s="2"/>
    </row>
    <row r="21" spans="3:8" x14ac:dyDescent="0.25">
      <c r="C21" s="12" t="s">
        <v>137</v>
      </c>
      <c r="D21" s="12"/>
      <c r="E21" s="1"/>
      <c r="F21" s="1">
        <v>20</v>
      </c>
      <c r="G21" s="12"/>
      <c r="H21" s="2"/>
    </row>
    <row r="22" spans="3:8" x14ac:dyDescent="0.25">
      <c r="C22" s="12"/>
      <c r="D22" s="12"/>
      <c r="E22" s="1"/>
      <c r="F22" s="1">
        <v>21</v>
      </c>
      <c r="G22" s="12"/>
      <c r="H22" s="2"/>
    </row>
    <row r="23" spans="3:8" x14ac:dyDescent="0.25">
      <c r="C23" s="12" t="s">
        <v>138</v>
      </c>
      <c r="D23" s="12"/>
      <c r="E23" s="1"/>
      <c r="F23" s="1">
        <v>22</v>
      </c>
      <c r="G23" s="12"/>
      <c r="H23" s="2"/>
    </row>
    <row r="24" spans="3:8" x14ac:dyDescent="0.25">
      <c r="C24" s="12"/>
      <c r="D24" s="12"/>
      <c r="E24" s="1"/>
      <c r="F24" s="1">
        <v>23</v>
      </c>
      <c r="G24" s="12"/>
      <c r="H24" s="2"/>
    </row>
    <row r="25" spans="3:8" x14ac:dyDescent="0.25">
      <c r="C25" s="12"/>
      <c r="D25" s="12"/>
      <c r="E25" s="1"/>
      <c r="F25" s="1">
        <v>24</v>
      </c>
      <c r="G25" s="12"/>
      <c r="H25" s="2"/>
    </row>
    <row r="26" spans="3:8" x14ac:dyDescent="0.25">
      <c r="C26" s="12"/>
      <c r="D26" s="12"/>
      <c r="E26" s="1"/>
      <c r="F26" s="1">
        <v>25</v>
      </c>
      <c r="G26" s="12"/>
      <c r="H26" s="2"/>
    </row>
    <row r="27" spans="3:8" x14ac:dyDescent="0.25">
      <c r="C27" s="12"/>
      <c r="D27" s="12"/>
      <c r="E27" s="12"/>
      <c r="F27" s="1">
        <v>26</v>
      </c>
      <c r="G27" s="12"/>
      <c r="H27" s="2"/>
    </row>
    <row r="28" spans="3:8" x14ac:dyDescent="0.25">
      <c r="C28" s="12"/>
      <c r="D28" s="12"/>
      <c r="E28" s="12"/>
      <c r="F28" s="1">
        <v>27</v>
      </c>
      <c r="G28" s="12"/>
      <c r="H28" s="2"/>
    </row>
    <row r="29" spans="3:8" x14ac:dyDescent="0.25">
      <c r="C29" s="12"/>
      <c r="D29" s="12"/>
      <c r="E29" s="12"/>
      <c r="F29" s="1">
        <v>28</v>
      </c>
      <c r="G29" s="12"/>
      <c r="H29" s="2"/>
    </row>
    <row r="30" spans="3:8" x14ac:dyDescent="0.25">
      <c r="C30" s="12"/>
      <c r="D30" s="12"/>
      <c r="E30" s="12"/>
      <c r="F30" s="1">
        <v>29</v>
      </c>
      <c r="G30" s="12"/>
      <c r="H30" s="2"/>
    </row>
    <row r="31" spans="3:8" x14ac:dyDescent="0.25">
      <c r="C31" s="12"/>
      <c r="D31" s="12"/>
      <c r="E31" s="12"/>
      <c r="F31" s="1">
        <v>30</v>
      </c>
      <c r="G31" s="12"/>
      <c r="H31" s="12"/>
    </row>
    <row r="32" spans="3:8" x14ac:dyDescent="0.25">
      <c r="C32" s="12"/>
      <c r="D32" s="12"/>
      <c r="E32" s="12"/>
      <c r="F32" s="1">
        <v>31</v>
      </c>
      <c r="G32" s="12"/>
      <c r="H32" s="12"/>
    </row>
    <row r="33" spans="6:6" x14ac:dyDescent="0.25">
      <c r="F33" s="1">
        <v>32</v>
      </c>
    </row>
    <row r="34" spans="6:6" x14ac:dyDescent="0.25">
      <c r="F34" s="1">
        <v>33</v>
      </c>
    </row>
    <row r="35" spans="6:6" x14ac:dyDescent="0.25">
      <c r="F35" s="1">
        <v>34</v>
      </c>
    </row>
    <row r="36" spans="6:6" x14ac:dyDescent="0.25">
      <c r="F36" s="1">
        <v>35</v>
      </c>
    </row>
    <row r="37" spans="6:6" x14ac:dyDescent="0.25">
      <c r="F37" s="1">
        <v>36</v>
      </c>
    </row>
    <row r="38" spans="6:6" x14ac:dyDescent="0.25">
      <c r="F38" s="1">
        <v>37</v>
      </c>
    </row>
    <row r="39" spans="6:6" x14ac:dyDescent="0.25">
      <c r="F39" s="1">
        <v>38</v>
      </c>
    </row>
    <row r="40" spans="6:6" x14ac:dyDescent="0.25">
      <c r="F40" s="1">
        <v>39</v>
      </c>
    </row>
    <row r="41" spans="6:6" x14ac:dyDescent="0.25">
      <c r="F41" s="1">
        <v>40</v>
      </c>
    </row>
    <row r="42" spans="6:6" x14ac:dyDescent="0.25">
      <c r="F42" s="1">
        <v>41</v>
      </c>
    </row>
    <row r="43" spans="6:6" x14ac:dyDescent="0.25">
      <c r="F43" s="1">
        <v>42</v>
      </c>
    </row>
    <row r="44" spans="6:6" x14ac:dyDescent="0.25">
      <c r="F44" s="1">
        <v>43</v>
      </c>
    </row>
    <row r="45" spans="6:6" x14ac:dyDescent="0.25">
      <c r="F45" s="1">
        <v>44</v>
      </c>
    </row>
    <row r="46" spans="6:6" x14ac:dyDescent="0.25">
      <c r="F46" s="1">
        <v>45</v>
      </c>
    </row>
    <row r="47" spans="6:6" x14ac:dyDescent="0.25">
      <c r="F47" s="1"/>
    </row>
    <row r="48" spans="6:6" x14ac:dyDescent="0.25">
      <c r="F48" s="1"/>
    </row>
    <row r="49" spans="6:6" x14ac:dyDescent="0.25">
      <c r="F49" s="1"/>
    </row>
    <row r="50" spans="6:6" x14ac:dyDescent="0.25">
      <c r="F50" s="1"/>
    </row>
    <row r="51" spans="6:6" x14ac:dyDescent="0.25">
      <c r="F51" s="1"/>
    </row>
    <row r="52" spans="6:6" x14ac:dyDescent="0.25">
      <c r="F52" s="1"/>
    </row>
    <row r="53" spans="6:6" x14ac:dyDescent="0.25">
      <c r="F53" s="1"/>
    </row>
    <row r="54" spans="6:6" x14ac:dyDescent="0.25">
      <c r="F54" s="1"/>
    </row>
    <row r="55" spans="6:6" x14ac:dyDescent="0.25">
      <c r="F55" s="1"/>
    </row>
    <row r="56" spans="6:6" x14ac:dyDescent="0.25">
      <c r="F56" s="1"/>
    </row>
    <row r="57" spans="6:6" x14ac:dyDescent="0.25">
      <c r="F57" s="1"/>
    </row>
    <row r="58" spans="6:6" x14ac:dyDescent="0.25">
      <c r="F58" s="1"/>
    </row>
    <row r="59" spans="6:6" x14ac:dyDescent="0.25">
      <c r="F59" s="1"/>
    </row>
  </sheetData>
  <sheetProtection algorithmName="SHA-512" hashValue="psM6Z9pqYD2fzl26O/DSp3pwLtBMwCnuWVBKRLqkVGaOOxN3iFcu2k4lD67uSfl6T1KWs3Jry1+wgs2mbEj8Kg==" saltValue="0AttDf1T6Rn9DADMlPReX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e21cbe00-2104-4159-b9b9-bd54555d1bf2">TEMPLATE, checklist or form</DocumentType>
    <Volume xmlns="e21cbe00-2104-4159-b9b9-bd54555d1bf2" xsi:nil="true"/>
    <Project xmlns="e21cbe00-2104-4159-b9b9-bd54555d1bf2">RMO</Project>
    <CategoryValue xmlns="e21cbe00-2104-4159-b9b9-bd54555d1bf2" xsi:nil="true"/>
    <CategoryName xmlns="e21cbe00-2104-4159-b9b9-bd54555d1bf2" xsi:nil="true"/>
    <Case xmlns="e21cbe00-2104-4159-b9b9-bd54555d1bf2">Additional Resources, Templates, Forms</Case>
    <Key_x0020_Words xmlns="e21cbe00-2104-4159-b9b9-bd54555d1bf2"/>
    <Group xmlns="1bd4bb20-3b53-4be8-81ec-aa725c929aad">Medical</Group>
    <Narrative xmlns="a2984dfb-d5d6-45d9-9364-de3aa4a9e2fb" xsi:nil="true"/>
    <RecordID xmlns="a2984dfb-d5d6-45d9-9364-de3aa4a9e2fb">113697</RecordID>
    <PRA_Date_3 xmlns="a2984dfb-d5d6-45d9-9364-de3aa4a9e2fb" xsi:nil="true"/>
    <PRA_Date_Trigger xmlns="a2984dfb-d5d6-45d9-9364-de3aa4a9e2fb" xsi:nil="true"/>
    <Subgroup xmlns="1bd4bb20-3b53-4be8-81ec-aa725c929aad">RMO</Subgroup>
    <SFItemID xmlns="17ec3dfb-ee43-496a-bf86-c65633bc0640" xsi:nil="true"/>
    <Authoritative_Version xmlns="a2984dfb-d5d6-45d9-9364-de3aa4a9e2fb">false</Authoritative_Version>
    <Aggregation_Status xmlns="a2984dfb-d5d6-45d9-9364-de3aa4a9e2fb">Normal</Aggregation_Status>
    <Function xmlns="e21cbe00-2104-4159-b9b9-bd54555d1bf2" xsi:nil="true"/>
    <MeetingDate xmlns="1bd4bb20-3b53-4be8-81ec-aa725c929aad" xsi:nil="true"/>
    <Target_Audience xmlns="a2984dfb-d5d6-45d9-9364-de3aa4a9e2fb">Internal</Target_Audience>
    <PRA_Date_Disposal xmlns="a2984dfb-d5d6-45d9-9364-de3aa4a9e2fb" xsi:nil="true"/>
    <PRA_Type xmlns="a2984dfb-d5d6-45d9-9364-de3aa4a9e2fb">Doc</PRA_Type>
    <SFVersion xmlns="17ec3dfb-ee43-496a-bf86-c65633bc0640" xsi:nil="true"/>
    <PRA_Text_3 xmlns="a2984dfb-d5d6-45d9-9364-de3aa4a9e2fb" xsi:nil="true"/>
    <PRA_Date_1 xmlns="a2984dfb-d5d6-45d9-9364-de3aa4a9e2fb" xsi:nil="true"/>
    <FunctionGroup xmlns="e21cbe00-2104-4159-b9b9-bd54555d1bf2" xsi:nil="true"/>
    <Activity xmlns="e21cbe00-2104-4159-b9b9-bd54555d1bf2" xsi:nil="true"/>
    <Original_Document xmlns="a2984dfb-d5d6-45d9-9364-de3aa4a9e2fb" xsi:nil="true"/>
    <PRA_Text_2 xmlns="a2984dfb-d5d6-45d9-9364-de3aa4a9e2fb" xsi:nil="true"/>
    <PRA_Text_5 xmlns="a2984dfb-d5d6-45d9-9364-de3aa4a9e2fb" xsi:nil="true"/>
    <Know-How_Type xmlns="a2984dfb-d5d6-45d9-9364-de3aa4a9e2fb">NA</Know-How_Type>
    <PRA_Text_1 xmlns="a2984dfb-d5d6-45d9-9364-de3aa4a9e2fb" xsi:nil="true"/>
    <PRA_Text_4 xmlns="a2984dfb-d5d6-45d9-9364-de3aa4a9e2fb" xsi:nil="true"/>
    <PRA_Date_2 xmlns="a2984dfb-d5d6-45d9-9364-de3aa4a9e2fb" xsi:nil="true"/>
    <Subactivity xmlns="e21cbe00-2104-4159-b9b9-bd54555d1bf2" xsi:nil="true"/>
    <Record_Type xmlns="a2984dfb-d5d6-45d9-9364-de3aa4a9e2fb">Normal</Record_Type>
    <Read_Only_Status xmlns="a2984dfb-d5d6-45d9-9364-de3aa4a9e2fb">Open</Read_Only_Status>
    <Related_People xmlns="a2984dfb-d5d6-45d9-9364-de3aa4a9e2fb">
      <UserInfo>
        <DisplayName/>
        <AccountId xsi:nil="true"/>
        <AccountType/>
      </UserInfo>
    </Related_People>
  </documentManagement>
</p:properties>
</file>

<file path=customXml/item3.xml><?xml version="1.0" encoding="utf-8"?>
<ct:contentTypeSchema xmlns:ct="http://schemas.microsoft.com/office/2006/metadata/contentType" xmlns:ma="http://schemas.microsoft.com/office/2006/metadata/properties/metaAttributes" ct:_="" ma:_="" ma:contentTypeName="eDocument" ma:contentTypeID="0x010100AAAAAAAAAAAAAAAAAAAAAAAAAAAAAA0200A6447A319C7E034E9E6C95FA14DA053E" ma:contentTypeVersion="34" ma:contentTypeDescription="Standard Electronic Document" ma:contentTypeScope="" ma:versionID="c434581f9844c3c773f7aa8be25a30c6">
  <xsd:schema xmlns:xsd="http://www.w3.org/2001/XMLSchema" xmlns:xs="http://www.w3.org/2001/XMLSchema" xmlns:p="http://schemas.microsoft.com/office/2006/metadata/properties" xmlns:ns2="a2984dfb-d5d6-45d9-9364-de3aa4a9e2fb" xmlns:ns3="e21cbe00-2104-4159-b9b9-bd54555d1bf2" xmlns:ns4="1bd4bb20-3b53-4be8-81ec-aa725c929aad" xmlns:ns5="17ec3dfb-ee43-496a-bf86-c65633bc0640" targetNamespace="http://schemas.microsoft.com/office/2006/metadata/properties" ma:root="true" ma:fieldsID="8f1d346745b15cabc973ba5579e65bd6" ns2:_="" ns3:_="" ns4:_="" ns5:_="">
    <xsd:import namespace="a2984dfb-d5d6-45d9-9364-de3aa4a9e2fb"/>
    <xsd:import namespace="e21cbe00-2104-4159-b9b9-bd54555d1bf2"/>
    <xsd:import namespace="1bd4bb20-3b53-4be8-81ec-aa725c929aad"/>
    <xsd:import namespace="17ec3dfb-ee43-496a-bf86-c65633bc0640"/>
    <xsd:element name="properties">
      <xsd:complexType>
        <xsd:sequence>
          <xsd:element name="documentManagement">
            <xsd:complexType>
              <xsd:all>
                <xsd:element ref="ns2:Know-How_Type" minOccurs="0"/>
                <xsd:element ref="ns2:Target_Audience" minOccurs="0"/>
                <xsd:element ref="ns2:Related_People" minOccurs="0"/>
                <xsd:element ref="ns2:Original_Document" minOccurs="0"/>
                <xsd:element ref="ns2:RecordID" minOccurs="0"/>
                <xsd:element ref="ns2:PRA_Type" minOccurs="0"/>
                <xsd:element ref="ns2:Aggregation_Status" minOccurs="0"/>
                <xsd:element ref="ns2:Narrative" minOccurs="0"/>
                <xsd:element ref="ns2:Record_Type" minOccurs="0"/>
                <xsd:element ref="ns2:Read_Only_Status" minOccurs="0"/>
                <xsd:element ref="ns2:Authoritative_Version" minOccurs="0"/>
                <xsd:element ref="ns2:PRA_Text_1" minOccurs="0"/>
                <xsd:element ref="ns2:PRA_Text_2" minOccurs="0"/>
                <xsd:element ref="ns2:PRA_Text_3" minOccurs="0"/>
                <xsd:element ref="ns2:PRA_Text_4" minOccurs="0"/>
                <xsd:element ref="ns2:PRA_Text_5" minOccurs="0"/>
                <xsd:element ref="ns2:PRA_Date_1" minOccurs="0"/>
                <xsd:element ref="ns2:PRA_Date_2" minOccurs="0"/>
                <xsd:element ref="ns2:PRA_Date_3" minOccurs="0"/>
                <xsd:element ref="ns2:PRA_Date_Trigger" minOccurs="0"/>
                <xsd:element ref="ns2:PRA_Date_Disposal" minOccurs="0"/>
                <xsd:element ref="ns3:FunctionGroup" minOccurs="0"/>
                <xsd:element ref="ns3:Function" minOccurs="0"/>
                <xsd:element ref="ns3:Activity" minOccurs="0"/>
                <xsd:element ref="ns3:Subactivity" minOccurs="0"/>
                <xsd:element ref="ns3:Project" minOccurs="0"/>
                <xsd:element ref="ns3:Case" minOccurs="0"/>
                <xsd:element ref="ns3:DocumentType" minOccurs="0"/>
                <xsd:element ref="ns3:Key_x0020_Words" minOccurs="0"/>
                <xsd:element ref="ns3:CategoryName" minOccurs="0"/>
                <xsd:element ref="ns3:CategoryValue" minOccurs="0"/>
                <xsd:element ref="ns3:Volume" minOccurs="0"/>
                <xsd:element ref="ns4:Group" minOccurs="0"/>
                <xsd:element ref="ns4:Subgroup" minOccurs="0"/>
                <xsd:element ref="ns4:MeetingDate" minOccurs="0"/>
                <xsd:element ref="ns5:SFItemID" minOccurs="0"/>
                <xsd:element ref="ns5:SF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84dfb-d5d6-45d9-9364-de3aa4a9e2fb" elementFormDefault="qualified">
    <xsd:import namespace="http://schemas.microsoft.com/office/2006/documentManagement/types"/>
    <xsd:import namespace="http://schemas.microsoft.com/office/infopath/2007/PartnerControls"/>
    <xsd:element name="Know-How_Type" ma:index="7" nillable="true" ma:displayName="Know-How Type" ma:default="NA" ma:format="Dropdown" ma:hidden="true" ma:internalName="KnowHowType" ma:readOnly="false">
      <xsd:simpleType>
        <xsd:union memberTypes="dms:Text">
          <xsd:simpleType>
            <xsd:restriction base="dms:Choice">
              <xsd:enumeration value="NA"/>
              <xsd:enumeration value="FAQ"/>
              <xsd:enumeration value="Tall Poppy"/>
              <xsd:enumeration value="Topic"/>
              <xsd:enumeration value="Who"/>
            </xsd:restriction>
          </xsd:simpleType>
        </xsd:union>
      </xsd:simpleType>
    </xsd:element>
    <xsd:element name="Target_Audience" ma:index="8" nillable="true" ma:displayName="Target Audience" ma:default="Internal" ma:format="RadioButtons" ma:hidden="true" ma:internalName="TargetAudience" ma:readOnly="false">
      <xsd:simpleType>
        <xsd:union memberTypes="dms:Text">
          <xsd:simpleType>
            <xsd:restriction base="dms:Choice">
              <xsd:enumeration value="Internal"/>
              <xsd:enumeration value="External"/>
            </xsd:restriction>
          </xsd:simpleType>
        </xsd:union>
      </xsd:simpleType>
    </xsd:element>
    <xsd:element name="Related_People" ma:index="9" nillable="true" ma:displayName="Related People" ma:hidden="true" ma:list="UserInfo"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riginal_Document" ma:index="10" nillable="true" ma:displayName="Original Document" ma:hidden="true" ma:internalName="OriginalDocument">
      <xsd:simpleType>
        <xsd:restriction base="dms:Text"/>
      </xsd:simpleType>
    </xsd:element>
    <xsd:element name="RecordID" ma:index="11" nillable="true" ma:displayName="RecordID" ma:hidden="true" ma:internalName="RecordID" ma:readOnly="false">
      <xsd:simpleType>
        <xsd:restriction base="dms:Text"/>
      </xsd:simpleType>
    </xsd:element>
    <xsd:element name="PRA_Type" ma:index="13" nillable="true" ma:displayName="PRA Type" ma:default="Doc" ma:hidden="true" ma:internalName="PRAType" ma:readOnly="false">
      <xsd:simpleType>
        <xsd:restriction base="dms:Text"/>
      </xsd:simpleType>
    </xsd:element>
    <xsd:element name="Aggregation_Status" ma:index="14" nillable="true" ma:displayName="Aggregation Status" ma:default="Normal"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Narrative" ma:index="15" nillable="true" ma:displayName="Narrative" ma:hidden="true" ma:internalName="Narrative" ma:readOnly="false">
      <xsd:simpleType>
        <xsd:restriction base="dms:Note"/>
      </xsd:simpleType>
    </xsd:element>
    <xsd:element name="Record_Type" ma:index="16" nillable="true" ma:displayName="Business Value" ma:default="Normal" ma:hidden="true" ma:internalName="RecordType" ma:readOnly="false">
      <xsd:simpleType>
        <xsd:restriction base="dms:Choice">
          <xsd:enumeration value="Housekeeping"/>
          <xsd:enumeration value="Long Term Value"/>
          <xsd:enumeration value="Superseded"/>
          <xsd:enumeration value="Normal"/>
          <xsd:enumeration value="Cancelled"/>
          <xsd:enumeration value="Deleted"/>
        </xsd:restriction>
      </xsd:simpleType>
    </xsd:element>
    <xsd:element name="Read_Only_Status" ma:index="17" nillable="true" ma:displayName="Read Only Status" ma:default="Open" ma:hidden="true" ma:internalName="ReadOnlyStatus" ma:readOnly="false">
      <xsd:simpleType>
        <xsd:restriction base="dms:Choice">
          <xsd:enumeration value="Open"/>
          <xsd:enumeration value="Document"/>
          <xsd:enumeration value="Document and Metadata"/>
        </xsd:restriction>
      </xsd:simpleType>
    </xsd:element>
    <xsd:element name="Authoritative_Version" ma:index="18" nillable="true" ma:displayName="Authoritative Version" ma:default="0" ma:hidden="true" ma:internalName="AuthoritativeVersion" ma:readOnly="false">
      <xsd:simpleType>
        <xsd:restriction base="dms:Boolean"/>
      </xsd:simpleType>
    </xsd:element>
    <xsd:element name="PRA_Text_1" ma:index="19" nillable="true" ma:displayName="PRA Text 1" ma:hidden="true" ma:internalName="PraText1" ma:readOnly="false">
      <xsd:simpleType>
        <xsd:restriction base="dms:Text"/>
      </xsd:simpleType>
    </xsd:element>
    <xsd:element name="PRA_Text_2" ma:index="20" nillable="true" ma:displayName="PRA Text 2" ma:hidden="true" ma:internalName="PraText2" ma:readOnly="false">
      <xsd:simpleType>
        <xsd:restriction base="dms:Text"/>
      </xsd:simpleType>
    </xsd:element>
    <xsd:element name="PRA_Text_3" ma:index="21" nillable="true" ma:displayName="PRA Text 3" ma:hidden="true" ma:internalName="PraText3" ma:readOnly="false">
      <xsd:simpleType>
        <xsd:restriction base="dms:Text"/>
      </xsd:simpleType>
    </xsd:element>
    <xsd:element name="PRA_Text_4" ma:index="22" nillable="true" ma:displayName="PRA Text 4" ma:hidden="true" ma:internalName="PraText4" ma:readOnly="false">
      <xsd:simpleType>
        <xsd:restriction base="dms:Text"/>
      </xsd:simpleType>
    </xsd:element>
    <xsd:element name="PRA_Text_5" ma:index="23" nillable="true" ma:displayName="PRA Text 5" ma:hidden="true" ma:internalName="PraText5" ma:readOnly="false">
      <xsd:simpleType>
        <xsd:restriction base="dms:Text"/>
      </xsd:simpleType>
    </xsd:element>
    <xsd:element name="PRA_Date_1" ma:index="24" nillable="true" ma:displayName="PRA Date 1" ma:format="DateTime" ma:hidden="true" ma:internalName="PraDate1" ma:readOnly="false">
      <xsd:simpleType>
        <xsd:restriction base="dms:DateTime"/>
      </xsd:simpleType>
    </xsd:element>
    <xsd:element name="PRA_Date_2" ma:index="25" nillable="true" ma:displayName="PRA Date 2" ma:format="DateTime" ma:hidden="true" ma:internalName="PraDate2" ma:readOnly="false">
      <xsd:simpleType>
        <xsd:restriction base="dms:DateTime"/>
      </xsd:simpleType>
    </xsd:element>
    <xsd:element name="PRA_Date_3" ma:index="26" nillable="true" ma:displayName="PRA Date 3" ma:format="DateTime" ma:hidden="true" ma:internalName="PraDate3" ma:readOnly="false">
      <xsd:simpleType>
        <xsd:restriction base="dms:DateTime"/>
      </xsd:simpleType>
    </xsd:element>
    <xsd:element name="PRA_Date_Trigger" ma:index="27" nillable="true" ma:displayName="PRA Date Trigger" ma:format="DateTime" ma:hidden="true" ma:internalName="PraDateTrigger" ma:readOnly="false">
      <xsd:simpleType>
        <xsd:restriction base="dms:DateTime"/>
      </xsd:simpleType>
    </xsd:element>
    <xsd:element name="PRA_Date_Disposal" ma:index="28" nillable="true" ma:displayName="PRA Date Disposal" ma:format="DateTime" ma:hidden="true" ma:internalName="PraDateDisposal"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1cbe00-2104-4159-b9b9-bd54555d1bf2" elementFormDefault="qualified">
    <xsd:import namespace="http://schemas.microsoft.com/office/2006/documentManagement/types"/>
    <xsd:import namespace="http://schemas.microsoft.com/office/infopath/2007/PartnerControls"/>
    <xsd:element name="FunctionGroup" ma:index="29" nillable="true" ma:displayName="Function Group" ma:hidden="true" ma:internalName="FunctionGroup" ma:readOnly="false">
      <xsd:simpleType>
        <xsd:restriction base="dms:Text">
          <xsd:maxLength value="255"/>
        </xsd:restriction>
      </xsd:simpleType>
    </xsd:element>
    <xsd:element name="Function" ma:index="30" nillable="true" ma:displayName="Function" ma:hidden="true" ma:internalName="Function" ma:readOnly="false">
      <xsd:simpleType>
        <xsd:restriction base="dms:Text">
          <xsd:maxLength value="255"/>
        </xsd:restriction>
      </xsd:simpleType>
    </xsd:element>
    <xsd:element name="Activity" ma:index="31" nillable="true" ma:displayName="Activity" ma:hidden="true" ma:internalName="Activity" ma:readOnly="false">
      <xsd:simpleType>
        <xsd:restriction base="dms:Text">
          <xsd:maxLength value="255"/>
        </xsd:restriction>
      </xsd:simpleType>
    </xsd:element>
    <xsd:element name="Subactivity" ma:index="32" nillable="true" ma:displayName="Subactivity" ma:hidden="true" ma:internalName="Subactivity" ma:readOnly="false">
      <xsd:simpleType>
        <xsd:restriction base="dms:Text">
          <xsd:maxLength value="255"/>
        </xsd:restriction>
      </xsd:simpleType>
    </xsd:element>
    <xsd:element name="Project" ma:index="33" nillable="true" ma:displayName="Project" ma:default="RMO" ma:format="RadioButtons" ma:hidden="true" ma:internalName="Project" ma:readOnly="false">
      <xsd:simpleType>
        <xsd:union memberTypes="dms:Text">
          <xsd:simpleType>
            <xsd:restriction base="dms:Choice">
              <xsd:enumeration value="RMO"/>
            </xsd:restriction>
          </xsd:simpleType>
        </xsd:union>
      </xsd:simpleType>
    </xsd:element>
    <xsd:element name="Case" ma:index="34" nillable="true" ma:displayName="Topic" ma:default="Section 1 and 2 Manual Overview and General Information" ma:format="RadioButtons" ma:internalName="Case">
      <xsd:simpleType>
        <xsd:restriction base="dms:Choice">
          <xsd:enumeration value="Section 1 and 2 Manual Overview and General Information"/>
          <xsd:enumeration value="SToNZ Manual Clauses"/>
          <xsd:enumeration value="Additional Resources, Templates, Forms"/>
          <xsd:enumeration value="Reimbursement Lists"/>
        </xsd:restriction>
      </xsd:simpleType>
    </xsd:element>
    <xsd:element name="DocumentType" ma:index="35" nillable="true" ma:displayName="Document Type" ma:hidden="true" ma:internalName="DocumentType" ma:readOnly="false">
      <xsd:simpleType>
        <xsd:restriction base="dms:Text">
          <xsd:maxLength value="255"/>
        </xsd:restriction>
      </xsd:simpleType>
    </xsd:element>
    <xsd:element name="Key_x0020_Words" ma:index="36" nillable="true" ma:displayName="Key Words" ma:hidden="true" ma:internalName="Key_x0020_Words" ma:readOnly="false">
      <xsd:complexType>
        <xsd:complexContent>
          <xsd:extension base="dms:MultiChoiceFillIn">
            <xsd:sequence>
              <xsd:element name="Value" maxOccurs="unbounded" minOccurs="0" nillable="true">
                <xsd:simpleType>
                  <xsd:union memberTypes="dms:Text">
                    <xsd:simpleType>
                      <xsd:restriction base="dms:Choice">
                        <xsd:enumeration value="Not yet defined"/>
                      </xsd:restriction>
                    </xsd:simpleType>
                  </xsd:union>
                </xsd:simpleType>
              </xsd:element>
            </xsd:sequence>
          </xsd:extension>
        </xsd:complexContent>
      </xsd:complexType>
    </xsd:element>
    <xsd:element name="CategoryName" ma:index="37" nillable="true" ma:displayName="Category" ma:hidden="true" ma:internalName="CategoryName" ma:readOnly="false">
      <xsd:simpleType>
        <xsd:restriction base="dms:Text">
          <xsd:maxLength value="255"/>
        </xsd:restriction>
      </xsd:simpleType>
    </xsd:element>
    <xsd:element name="CategoryValue" ma:index="38" nillable="true" ma:displayName="Category Value" ma:hidden="true" ma:internalName="CategoryValue" ma:readOnly="false">
      <xsd:simpleType>
        <xsd:restriction base="dms:Text">
          <xsd:maxLength value="255"/>
        </xsd:restriction>
      </xsd:simpleType>
    </xsd:element>
    <xsd:element name="Volume" ma:index="39" nillable="true" ma:displayName="Volume" ma:hidden="true" ma:internalName="Volu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d4bb20-3b53-4be8-81ec-aa725c929aad" elementFormDefault="qualified">
    <xsd:import namespace="http://schemas.microsoft.com/office/2006/documentManagement/types"/>
    <xsd:import namespace="http://schemas.microsoft.com/office/infopath/2007/PartnerControls"/>
    <xsd:element name="Group" ma:index="40" nillable="true" ma:displayName="Group" ma:default="Medical" ma:format="Dropdown" ma:hidden="true" ma:internalName="Group" ma:readOnly="false">
      <xsd:simpleType>
        <xsd:union memberTypes="dms:Text">
          <xsd:simpleType>
            <xsd:restriction base="dms:Choice">
              <xsd:enumeration value="Medical"/>
            </xsd:restriction>
          </xsd:simpleType>
        </xsd:union>
      </xsd:simpleType>
    </xsd:element>
    <xsd:element name="Subgroup" ma:index="41" nillable="true" ma:displayName="Subgroup" ma:default="RMO" ma:format="Dropdown" ma:hidden="true" ma:internalName="Subgroup" ma:readOnly="false">
      <xsd:simpleType>
        <xsd:union memberTypes="dms:Text">
          <xsd:simpleType>
            <xsd:restriction base="dms:Choice">
              <xsd:enumeration value="RMO"/>
            </xsd:restriction>
          </xsd:simpleType>
        </xsd:union>
      </xsd:simpleType>
    </xsd:element>
    <xsd:element name="MeetingDate" ma:index="42" nillable="true" ma:displayName="Meeting Date" ma:format="DateOnly" ma:hidden="true"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7ec3dfb-ee43-496a-bf86-c65633bc0640" elementFormDefault="qualified">
    <xsd:import namespace="http://schemas.microsoft.com/office/2006/documentManagement/types"/>
    <xsd:import namespace="http://schemas.microsoft.com/office/infopath/2007/PartnerControls"/>
    <xsd:element name="SFItemID" ma:index="43" nillable="true" ma:displayName="SFItemID" ma:hidden="true" ma:internalName="SFItemID" ma:readOnly="false">
      <xsd:simpleType>
        <xsd:restriction base="dms:Text">
          <xsd:maxLength value="255"/>
        </xsd:restriction>
      </xsd:simpleType>
    </xsd:element>
    <xsd:element name="SFVersion" ma:index="44" nillable="true" ma:displayName="SFVersion" ma:hidden="true" ma:internalName="SFVersion"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F2661B-E904-4006-90DB-12AAA62B27FB}">
  <ds:schemaRefs>
    <ds:schemaRef ds:uri="http://schemas.microsoft.com/sharepoint/v3/contenttype/forms"/>
  </ds:schemaRefs>
</ds:datastoreItem>
</file>

<file path=customXml/itemProps2.xml><?xml version="1.0" encoding="utf-8"?>
<ds:datastoreItem xmlns:ds="http://schemas.openxmlformats.org/officeDocument/2006/customXml" ds:itemID="{FC295141-430E-4A88-8CDD-14B06126680A}">
  <ds:schemaRefs>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a2984dfb-d5d6-45d9-9364-de3aa4a9e2fb"/>
    <ds:schemaRef ds:uri="1bd4bb20-3b53-4be8-81ec-aa725c929aad"/>
    <ds:schemaRef ds:uri="http://purl.org/dc/elements/1.1/"/>
    <ds:schemaRef ds:uri="e21cbe00-2104-4159-b9b9-bd54555d1bf2"/>
    <ds:schemaRef ds:uri="http://schemas.openxmlformats.org/package/2006/metadata/core-properties"/>
    <ds:schemaRef ds:uri="17ec3dfb-ee43-496a-bf86-c65633bc0640"/>
    <ds:schemaRef ds:uri="http://purl.org/dc/dcmitype/"/>
  </ds:schemaRefs>
</ds:datastoreItem>
</file>

<file path=customXml/itemProps3.xml><?xml version="1.0" encoding="utf-8"?>
<ds:datastoreItem xmlns:ds="http://schemas.openxmlformats.org/officeDocument/2006/customXml" ds:itemID="{C4D6734E-C627-4EC4-AFB2-4F0E0A71E5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84dfb-d5d6-45d9-9364-de3aa4a9e2fb"/>
    <ds:schemaRef ds:uri="e21cbe00-2104-4159-b9b9-bd54555d1bf2"/>
    <ds:schemaRef ds:uri="1bd4bb20-3b53-4be8-81ec-aa725c929aad"/>
    <ds:schemaRef ds:uri="17ec3dfb-ee43-496a-bf86-c65633bc06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Guide</vt:lpstr>
      <vt:lpstr>Roster Calculator</vt:lpstr>
      <vt:lpstr>Shared Roster</vt:lpstr>
      <vt:lpstr>RDASly</vt:lpstr>
      <vt:lpstr>SToNZSly</vt:lpstr>
      <vt:lpstr>Reference</vt:lpstr>
      <vt:lpstr>Guide!Print_Area</vt:lpstr>
      <vt:lpstr>'Roster Calculator'!Print_Area</vt:lpstr>
      <vt:lpstr>'Shared Roster'!Print_Area</vt:lpstr>
    </vt:vector>
  </TitlesOfParts>
  <Company>healthAlliance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Carroll (NRA)</dc:creator>
  <cp:lastModifiedBy>Heather Rawiri (NRA)</cp:lastModifiedBy>
  <cp:revision/>
  <cp:lastPrinted>2022-05-04T20:56:42Z</cp:lastPrinted>
  <dcterms:created xsi:type="dcterms:W3CDTF">2018-11-21T22:58:10Z</dcterms:created>
  <dcterms:modified xsi:type="dcterms:W3CDTF">2022-05-04T20:59:17Z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0x010100AAAAAAAAAAAAAAAAAAAAAAAAAAAAAA0200A6447A319C7E034E9E6C95FA14DA053E</vt:lpwstr>
  </property>
  <property fmtid="{D5CDD505-2E9C-101B-9397-08002B2CF9AE}" pid="3" name="TargetAudience">
    <vt:lpwstr>Internal</vt:lpwstr>
  </property>
  <property fmtid="{D5CDD505-2E9C-101B-9397-08002B2CF9AE}" pid="4" name="AuthoritativeVersion">
    <vt:bool>false</vt:bool>
  </property>
  <property fmtid="{D5CDD505-2E9C-101B-9397-08002B2CF9AE}" pid="5" name="Group">
    <vt:lpwstr>RMO</vt:lpwstr>
  </property>
  <property fmtid="{D5CDD505-2E9C-101B-9397-08002B2CF9AE}" pid="6" name="RecordID">
    <vt:lpwstr>113697</vt:lpwstr>
  </property>
  <property fmtid="{D5CDD505-2E9C-101B-9397-08002B2CF9AE}" pid="7" name="SubGroup">
    <vt:lpwstr>RMO - Internal</vt:lpwstr>
  </property>
  <property fmtid="{D5CDD505-2E9C-101B-9397-08002B2CF9AE}" pid="8" name="KnowHowType">
    <vt:lpwstr>NA</vt:lpwstr>
  </property>
  <property fmtid="{D5CDD505-2E9C-101B-9397-08002B2CF9AE}" pid="9" name="RDClass">
    <vt:lpwstr>DEFAULT</vt:lpwstr>
  </property>
  <property fmtid="{D5CDD505-2E9C-101B-9397-08002B2CF9AE}" pid="10" name="_ModerationStatus">
    <vt:lpwstr>0</vt:lpwstr>
  </property>
</Properties>
</file>