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auoraaotearoa.sharepoint.com/sites/1000218/PlanningandPerformance/General/Service Modelling/From 3DHB/02 Living Well/Primary Care/005 Capitation/Model/GP Fee-setting templates/2024-25/"/>
    </mc:Choice>
  </mc:AlternateContent>
  <xr:revisionPtr revIDLastSave="51" documentId="8_{D7663652-3BDD-4E6A-99D9-301F45809FA9}" xr6:coauthVersionLast="47" xr6:coauthVersionMax="47" xr10:uidLastSave="{E6A7AE2C-039D-4CB4-AEE3-4473DD5876C2}"/>
  <bookViews>
    <workbookView xWindow="-120" yWindow="-120" windowWidth="29040" windowHeight="15840" tabRatio="743" xr2:uid="{00000000-000D-0000-FFFF-FFFF00000000}"/>
  </bookViews>
  <sheets>
    <sheet name="Revenue Split" sheetId="4" r:id="rId1"/>
    <sheet name="Annual Statement Summary" sheetId="3" r:id="rId2"/>
    <sheet name="Co-payment Template" sheetId="5" r:id="rId3"/>
    <sheet name="Parameters" sheetId="7" state="hidden" r:id="rId4"/>
  </sheets>
  <definedNames>
    <definedName name="CopaymentGSTRate">'Co-payment Template'!$F$9</definedName>
    <definedName name="DefaultCapitationContribution">'Annual Statement Summary'!$F$10</definedName>
    <definedName name="DefaultCopaymentContribution">'Annual Statement Summary'!$G$10</definedName>
    <definedName name="IncludeTopUp">Parameters!$B$2</definedName>
    <definedName name="MaxCSCFee_Adult">Parameters!$B$5</definedName>
    <definedName name="MaxCSCFee_Youth">Parameters!$B$4</definedName>
    <definedName name="PreviousGSTRate">'Co-payment Template'!$F$8</definedName>
    <definedName name="_xlnm.Print_Area" localSheetId="1">'Annual Statement Summary'!$A$1:$G$57</definedName>
    <definedName name="_xlnm.Print_Area" localSheetId="2">'Co-payment Template'!$B$2:$AB$46</definedName>
    <definedName name="_xlnm.Print_Area" localSheetId="0">'Revenue Split'!$B$3:$I$50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5" l="1"/>
  <c r="F9" i="4"/>
  <c r="F16" i="4"/>
  <c r="U37" i="5" l="1"/>
  <c r="U33" i="5"/>
  <c r="U29" i="5"/>
  <c r="U25" i="5"/>
  <c r="U21" i="5"/>
  <c r="Q25" i="5" l="1"/>
  <c r="G40" i="4"/>
  <c r="H40" i="4" s="1"/>
  <c r="X43" i="5"/>
  <c r="F37" i="5"/>
  <c r="S37" i="5"/>
  <c r="I37" i="5" s="1"/>
  <c r="O37" i="5" s="1"/>
  <c r="F35" i="5"/>
  <c r="F33" i="5"/>
  <c r="M33" i="5" s="1"/>
  <c r="L33" i="5" s="1"/>
  <c r="P33" i="5" s="1"/>
  <c r="F31" i="5"/>
  <c r="F29" i="5"/>
  <c r="M29" i="5" s="1"/>
  <c r="L29" i="5" s="1"/>
  <c r="P29" i="5" s="1"/>
  <c r="S29" i="5"/>
  <c r="T29" i="5" s="1"/>
  <c r="F27" i="5"/>
  <c r="F25" i="5"/>
  <c r="S25" i="5" s="1"/>
  <c r="I25" i="5" s="1"/>
  <c r="O25" i="5" s="1"/>
  <c r="F23" i="5"/>
  <c r="F21" i="5"/>
  <c r="M21" i="5" s="1"/>
  <c r="L21" i="5" s="1"/>
  <c r="P21" i="5" s="1"/>
  <c r="S21" i="5"/>
  <c r="T21" i="5" s="1"/>
  <c r="F19" i="5"/>
  <c r="F17" i="5"/>
  <c r="F15" i="5"/>
  <c r="E37" i="5"/>
  <c r="V37" i="5" s="1"/>
  <c r="E35" i="5"/>
  <c r="E33" i="5"/>
  <c r="V33" i="5" s="1"/>
  <c r="E31" i="5"/>
  <c r="V31" i="5"/>
  <c r="E29" i="5"/>
  <c r="E27" i="5"/>
  <c r="V27" i="5" s="1"/>
  <c r="E25" i="5"/>
  <c r="V25" i="5" s="1"/>
  <c r="E23" i="5"/>
  <c r="V23" i="5" s="1"/>
  <c r="E21" i="5"/>
  <c r="E19" i="5"/>
  <c r="V19" i="5" s="1"/>
  <c r="E17" i="5"/>
  <c r="V17" i="5" s="1"/>
  <c r="E15" i="5"/>
  <c r="V15" i="5" s="1"/>
  <c r="D37" i="5"/>
  <c r="D35" i="5"/>
  <c r="D33" i="5"/>
  <c r="D31" i="5"/>
  <c r="D29" i="5"/>
  <c r="D27" i="5"/>
  <c r="D25" i="5"/>
  <c r="D23" i="5"/>
  <c r="D21" i="5"/>
  <c r="D19" i="5"/>
  <c r="D17" i="5"/>
  <c r="D15" i="5"/>
  <c r="S13" i="5"/>
  <c r="I15" i="5"/>
  <c r="L15" i="5"/>
  <c r="P15" i="5"/>
  <c r="O15" i="5"/>
  <c r="Q15" i="5" s="1"/>
  <c r="I17" i="5"/>
  <c r="L17" i="5"/>
  <c r="P17" i="5"/>
  <c r="O17" i="5"/>
  <c r="Q17" i="5"/>
  <c r="I19" i="5"/>
  <c r="O19" i="5" s="1"/>
  <c r="L19" i="5"/>
  <c r="P19" i="5" s="1"/>
  <c r="Q19" i="5" s="1"/>
  <c r="Q21" i="5"/>
  <c r="I23" i="5"/>
  <c r="O23" i="5" s="1"/>
  <c r="Q23" i="5" s="1"/>
  <c r="L23" i="5"/>
  <c r="P23" i="5"/>
  <c r="I27" i="5"/>
  <c r="O27" i="5" s="1"/>
  <c r="L27" i="5"/>
  <c r="P27" i="5" s="1"/>
  <c r="Q29" i="5"/>
  <c r="I31" i="5"/>
  <c r="L31" i="5"/>
  <c r="P31" i="5"/>
  <c r="Q33" i="5"/>
  <c r="I35" i="5"/>
  <c r="L35" i="5"/>
  <c r="P35" i="5" s="1"/>
  <c r="Q35" i="5" s="1"/>
  <c r="O35" i="5"/>
  <c r="Q37" i="5"/>
  <c r="G38" i="4"/>
  <c r="H38" i="4" s="1"/>
  <c r="G34" i="4"/>
  <c r="G31" i="5" s="1"/>
  <c r="G30" i="4"/>
  <c r="H30" i="4" s="1"/>
  <c r="G26" i="4"/>
  <c r="G23" i="5" s="1"/>
  <c r="G22" i="4"/>
  <c r="H22" i="4" s="1"/>
  <c r="G36" i="4"/>
  <c r="H36" i="4" s="1"/>
  <c r="G28" i="4"/>
  <c r="H28" i="4" s="1"/>
  <c r="G20" i="4"/>
  <c r="H20" i="4" s="1"/>
  <c r="G32" i="4"/>
  <c r="G29" i="5" s="1"/>
  <c r="X29" i="5" s="1"/>
  <c r="G24" i="4"/>
  <c r="H24" i="4" s="1"/>
  <c r="G18" i="4"/>
  <c r="G15" i="5" s="1"/>
  <c r="G10" i="3"/>
  <c r="E42" i="4"/>
  <c r="D42" i="4"/>
  <c r="D44" i="4"/>
  <c r="S17" i="5"/>
  <c r="S16" i="5" s="1"/>
  <c r="M37" i="5"/>
  <c r="L37" i="5" s="1"/>
  <c r="P37" i="5" s="1"/>
  <c r="G37" i="5" l="1"/>
  <c r="X37" i="5" s="1"/>
  <c r="Z29" i="5"/>
  <c r="G19" i="5"/>
  <c r="X19" i="5" s="1"/>
  <c r="H18" i="4"/>
  <c r="Z37" i="5"/>
  <c r="Z31" i="5"/>
  <c r="Q27" i="5"/>
  <c r="S35" i="5"/>
  <c r="T35" i="5" s="1"/>
  <c r="S23" i="5"/>
  <c r="T23" i="5" s="1"/>
  <c r="W23" i="5" s="1"/>
  <c r="AA23" i="5" s="1"/>
  <c r="G17" i="5"/>
  <c r="X17" i="5" s="1"/>
  <c r="G35" i="5"/>
  <c r="X35" i="5" s="1"/>
  <c r="S27" i="5"/>
  <c r="T27" i="5" s="1"/>
  <c r="W27" i="5" s="1"/>
  <c r="AA27" i="5" s="1"/>
  <c r="S15" i="5"/>
  <c r="S14" i="5" s="1"/>
  <c r="H34" i="4"/>
  <c r="H26" i="4"/>
  <c r="S19" i="5"/>
  <c r="T19" i="5" s="1"/>
  <c r="W19" i="5" s="1"/>
  <c r="AA19" i="5" s="1"/>
  <c r="S33" i="5"/>
  <c r="I33" i="5" s="1"/>
  <c r="O33" i="5" s="1"/>
  <c r="S31" i="5"/>
  <c r="T31" i="5" s="1"/>
  <c r="W31" i="5" s="1"/>
  <c r="AA31" i="5" s="1"/>
  <c r="Z19" i="5"/>
  <c r="T17" i="5"/>
  <c r="W17" i="5" s="1"/>
  <c r="AA17" i="5" s="1"/>
  <c r="I21" i="5"/>
  <c r="O21" i="5" s="1"/>
  <c r="Z15" i="5"/>
  <c r="X15" i="5"/>
  <c r="T15" i="5"/>
  <c r="W15" i="5" s="1"/>
  <c r="AA15" i="5" s="1"/>
  <c r="X23" i="5"/>
  <c r="Z23" i="5"/>
  <c r="Z21" i="5"/>
  <c r="G27" i="5"/>
  <c r="X27" i="5" s="1"/>
  <c r="X31" i="5"/>
  <c r="M25" i="5"/>
  <c r="L25" i="5" s="1"/>
  <c r="P25" i="5" s="1"/>
  <c r="G33" i="5"/>
  <c r="H32" i="4"/>
  <c r="V21" i="5"/>
  <c r="W21" i="5" s="1"/>
  <c r="AA21" i="5" s="1"/>
  <c r="V29" i="5"/>
  <c r="W29" i="5" s="1"/>
  <c r="AA29" i="5" s="1"/>
  <c r="G25" i="5"/>
  <c r="G21" i="5"/>
  <c r="X21" i="5" s="1"/>
  <c r="V35" i="5"/>
  <c r="T25" i="5"/>
  <c r="W25" i="5" s="1"/>
  <c r="AA25" i="5" s="1"/>
  <c r="T37" i="5"/>
  <c r="W37" i="5" s="1"/>
  <c r="AA37" i="5" s="1"/>
  <c r="I29" i="5"/>
  <c r="O29" i="5" s="1"/>
  <c r="O31" i="5"/>
  <c r="Q31" i="5" s="1"/>
  <c r="I38" i="5" s="1"/>
  <c r="Z35" i="5" l="1"/>
  <c r="W35" i="5"/>
  <c r="AA35" i="5" s="1"/>
  <c r="AA40" i="5" s="1"/>
  <c r="T33" i="5"/>
  <c r="W33" i="5" s="1"/>
  <c r="AA33" i="5" s="1"/>
  <c r="Z27" i="5"/>
  <c r="Z17" i="5"/>
  <c r="H42" i="4"/>
  <c r="H45" i="4" s="1"/>
  <c r="H46" i="4" s="1"/>
  <c r="H49" i="4" s="1"/>
  <c r="E10" i="3" s="1"/>
  <c r="S38" i="5"/>
  <c r="Z25" i="5"/>
  <c r="X25" i="5"/>
  <c r="X33" i="5"/>
  <c r="Z33" i="5"/>
  <c r="AA41" i="5" l="1"/>
  <c r="H48" i="4"/>
  <c r="D10" i="3" s="1"/>
  <c r="F32" i="3" s="1"/>
  <c r="E54" i="3" s="1"/>
  <c r="Z41" i="5"/>
  <c r="Z42" i="5" s="1"/>
  <c r="Z40" i="5"/>
  <c r="AB40" i="5" s="1"/>
  <c r="F22" i="3"/>
  <c r="E44" i="3" s="1"/>
  <c r="F19" i="3"/>
  <c r="E41" i="3" s="1"/>
  <c r="F17" i="3"/>
  <c r="E39" i="3" s="1"/>
  <c r="F20" i="3" l="1"/>
  <c r="E42" i="3" s="1"/>
  <c r="F27" i="3"/>
  <c r="E49" i="3" s="1"/>
  <c r="F21" i="3"/>
  <c r="E43" i="3" s="1"/>
  <c r="F28" i="3"/>
  <c r="E50" i="3" s="1"/>
  <c r="F23" i="3"/>
  <c r="E45" i="3" s="1"/>
  <c r="F25" i="3"/>
  <c r="E47" i="3" s="1"/>
  <c r="F18" i="3"/>
  <c r="E40" i="3" s="1"/>
  <c r="F24" i="3"/>
  <c r="E46" i="3" s="1"/>
  <c r="F29" i="3"/>
  <c r="E51" i="3" s="1"/>
  <c r="F26" i="3"/>
  <c r="E48" i="3" s="1"/>
  <c r="F30" i="3"/>
  <c r="E52" i="3" s="1"/>
  <c r="F31" i="3"/>
  <c r="E53" i="3" s="1"/>
  <c r="F33" i="3"/>
  <c r="E55" i="3" s="1"/>
  <c r="E58" i="3" s="1"/>
  <c r="Z43" i="5" s="1"/>
  <c r="I45" i="5" s="1"/>
  <c r="AB4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 Noresten</author>
  </authors>
  <commentList>
    <comment ref="E11" authorId="0" shapeId="0" xr:uid="{78A50C1E-2C82-42E7-AD3B-5DD1AB5F8DB3}">
      <text>
        <r>
          <rPr>
            <b/>
            <sz val="9"/>
            <color indexed="81"/>
            <rFont val="Tahoma"/>
            <family val="2"/>
          </rPr>
          <t>Leanne Rahman:</t>
        </r>
        <r>
          <rPr>
            <sz val="9"/>
            <color indexed="81"/>
            <rFont val="Tahoma"/>
            <family val="2"/>
          </rPr>
          <t xml:space="preserve">
Calculated in 'Funding, utilisation rates, and visits calculations 2021-22.xlsx'</t>
        </r>
      </text>
    </comment>
  </commentList>
</comments>
</file>

<file path=xl/sharedStrings.xml><?xml version="1.0" encoding="utf-8"?>
<sst xmlns="http://schemas.openxmlformats.org/spreadsheetml/2006/main" count="131" uniqueCount="96">
  <si>
    <t>Under 6 years</t>
  </si>
  <si>
    <t>Age group</t>
  </si>
  <si>
    <t>Year to be applied</t>
  </si>
  <si>
    <t>Total fee adjustment</t>
  </si>
  <si>
    <t>FFT capitation adjustment</t>
  </si>
  <si>
    <t>Co-payment adjustment</t>
  </si>
  <si>
    <t>(DERIVED)</t>
  </si>
  <si>
    <t>Co-payment revenue split</t>
  </si>
  <si>
    <t>Capitation revenue share</t>
  </si>
  <si>
    <t>Annual statement for alternative practice composition</t>
  </si>
  <si>
    <t>The capitation and co-payment revenue shares below are linked to the previous sheet (DO NOT ALTER THESE)</t>
  </si>
  <si>
    <t>You do not need to enter values in this sheet</t>
  </si>
  <si>
    <r>
      <t xml:space="preserve">The values in red are the </t>
    </r>
    <r>
      <rPr>
        <b/>
        <sz val="12"/>
        <color indexed="8"/>
        <rFont val="Arial"/>
        <family val="2"/>
      </rPr>
      <t xml:space="preserve">annual statement </t>
    </r>
    <r>
      <rPr>
        <b/>
        <sz val="12"/>
        <color indexed="10"/>
        <rFont val="Arial"/>
        <family val="2"/>
      </rPr>
      <t>figures for the co-payment adjustment. They feed automatically through to the next sheet ('co-payment template')</t>
    </r>
  </si>
  <si>
    <r>
      <t xml:space="preserve">Fee information in </t>
    </r>
    <r>
      <rPr>
        <b/>
        <sz val="14"/>
        <color indexed="23"/>
        <rFont val="Arial"/>
        <family val="2"/>
      </rPr>
      <t>grey</t>
    </r>
    <r>
      <rPr>
        <b/>
        <sz val="14"/>
        <color indexed="52"/>
        <rFont val="Arial"/>
        <family val="2"/>
      </rPr>
      <t xml:space="preserve"> below will update automatically from "revenue split" sheet</t>
    </r>
  </si>
  <si>
    <t>Practice to enter values shown in red only:</t>
  </si>
  <si>
    <r>
      <t xml:space="preserve">Practice to adjust $ </t>
    </r>
    <r>
      <rPr>
        <b/>
        <sz val="14"/>
        <color indexed="9"/>
        <rFont val="Arial"/>
        <family val="2"/>
      </rPr>
      <t>OR</t>
    </r>
    <r>
      <rPr>
        <b/>
        <sz val="14"/>
        <color indexed="52"/>
        <rFont val="Arial"/>
        <family val="2"/>
      </rPr>
      <t xml:space="preserve"> % change to co-payment fee (up or down) shown in </t>
    </r>
    <r>
      <rPr>
        <b/>
        <sz val="14"/>
        <color indexed="48"/>
        <rFont val="Arial"/>
        <family val="2"/>
      </rPr>
      <t xml:space="preserve">blue </t>
    </r>
    <r>
      <rPr>
        <b/>
        <sz val="14"/>
        <color indexed="52"/>
        <rFont val="Arial"/>
        <family val="2"/>
      </rPr>
      <t>(using toggles)</t>
    </r>
  </si>
  <si>
    <t>Totals</t>
  </si>
  <si>
    <t>Enrolled patients in each category</t>
  </si>
  <si>
    <t>Actual total annual standard medical consultations</t>
  </si>
  <si>
    <t>Current enrolled patient numbers by age group</t>
  </si>
  <si>
    <t>Proposed</t>
  </si>
  <si>
    <t>Current</t>
  </si>
  <si>
    <r>
      <t>NOTE</t>
    </r>
    <r>
      <rPr>
        <b/>
        <sz val="14"/>
        <color indexed="52"/>
        <rFont val="Arial"/>
        <family val="2"/>
      </rPr>
      <t>: You can change the co-payment fee by % or $, but not both</t>
    </r>
  </si>
  <si>
    <t>Annual standard medical consultations</t>
  </si>
  <si>
    <t>% change in annual co-payment revenue</t>
  </si>
  <si>
    <t>Co-payment annual statement</t>
  </si>
  <si>
    <t>Percentage annual co-payment revenue</t>
  </si>
  <si>
    <t>Percentage annual capitation revenue</t>
  </si>
  <si>
    <t>2008/09</t>
  </si>
  <si>
    <t>Practice Name or Identifier</t>
  </si>
  <si>
    <t>2009/10</t>
  </si>
  <si>
    <t>2010/11</t>
  </si>
  <si>
    <t>2011/12</t>
  </si>
  <si>
    <t>Current Year</t>
  </si>
  <si>
    <t>Co-payment adjustment for current year</t>
  </si>
  <si>
    <t>Set to current year &gt;</t>
  </si>
  <si>
    <t>Annual capitation revenue (excluding GST)</t>
  </si>
  <si>
    <t>Annual co-payment revenue (excluding GST)</t>
  </si>
  <si>
    <t>Annual co-payment revenue (excl GST)</t>
  </si>
  <si>
    <t>Annual total revenue (excluding GST)</t>
  </si>
  <si>
    <t>Co-payment change ($) (incl GST)</t>
  </si>
  <si>
    <t>Co-payment change (%) (incl GST)</t>
  </si>
  <si>
    <t>Number of patients in this category</t>
  </si>
  <si>
    <t>Proposed co-payment fee (excl GST)</t>
  </si>
  <si>
    <t>Age group co-payment change (excl GST)</t>
  </si>
  <si>
    <t>Proposed co-payment revenue (excl GST)</t>
  </si>
  <si>
    <t>Actual total annual capitation revenue (exclusive of GST)</t>
  </si>
  <si>
    <t>Pre increase co-payment revenue (excl GST)</t>
  </si>
  <si>
    <t>2012/13</t>
  </si>
  <si>
    <t>2013/14</t>
  </si>
  <si>
    <t>2014/15</t>
  </si>
  <si>
    <t>2015/16</t>
  </si>
  <si>
    <t>2016/17</t>
  </si>
  <si>
    <t>2017/18</t>
  </si>
  <si>
    <t>2018/19</t>
  </si>
  <si>
    <t>6 to 13 years</t>
  </si>
  <si>
    <t>14 to 17 years - No CSC</t>
  </si>
  <si>
    <t>14 to 17 years - With CSC</t>
  </si>
  <si>
    <t>18 to 24 years - No CSC</t>
  </si>
  <si>
    <t>18 to 24 years - With CSC</t>
  </si>
  <si>
    <t>25 to 44 years - No CSC</t>
  </si>
  <si>
    <t>25 to 44 years - With CSC</t>
  </si>
  <si>
    <t>45 to 64 years - No CSC</t>
  </si>
  <si>
    <t>45 to 64 years - With CSC</t>
  </si>
  <si>
    <t>65 years + - No CSC</t>
  </si>
  <si>
    <t>65 years + - With CSC</t>
  </si>
  <si>
    <t xml:space="preserve">      RESULT OF CHANGES:</t>
  </si>
  <si>
    <t>Total co-payment revenue (excl GST)</t>
  </si>
  <si>
    <t xml:space="preserve">Rate of GST applying to new copayments = </t>
  </si>
  <si>
    <t>Negative co-payment changes for under 14 year age group do not count towards total co-payment adjustment</t>
  </si>
  <si>
    <t>65+</t>
  </si>
  <si>
    <t>45 to 64</t>
  </si>
  <si>
    <t>25 to 44</t>
  </si>
  <si>
    <t>18 to 24</t>
  </si>
  <si>
    <t>14 to 17</t>
  </si>
  <si>
    <t>6 to 13</t>
  </si>
  <si>
    <t>0 to 5</t>
  </si>
  <si>
    <t>Age Band</t>
  </si>
  <si>
    <t>Adult Max CSC Fee</t>
  </si>
  <si>
    <t>Youth Max CSC Fee</t>
  </si>
  <si>
    <t>CSC Funding per Patient (excl GST)</t>
  </si>
  <si>
    <t>CSC Funding per Consultation (excl GST)</t>
  </si>
  <si>
    <t>Effective co-payment fee incl CSC Funding (excl GST)</t>
  </si>
  <si>
    <t>Co-payment/capitation revenue split calculation</t>
  </si>
  <si>
    <r>
      <t xml:space="preserve">TEMPLATE TO ADJUST FEE'S BY AGE GROUP - </t>
    </r>
    <r>
      <rPr>
        <b/>
        <sz val="15.3"/>
        <color indexed="13"/>
        <rFont val="Arial"/>
        <family val="2"/>
      </rPr>
      <t>CHECKS AGAINST CO-PAYMENT ANNUAL STATEMENT</t>
    </r>
  </si>
  <si>
    <t>2019/20</t>
  </si>
  <si>
    <t>2020/21</t>
  </si>
  <si>
    <t>Capitation funding per person</t>
  </si>
  <si>
    <t>Funding per person</t>
  </si>
  <si>
    <t>Co-payment adjustment template - Option B - INTRO</t>
  </si>
  <si>
    <t>2021/22</t>
  </si>
  <si>
    <t>2022/23</t>
  </si>
  <si>
    <t>2023/24</t>
  </si>
  <si>
    <t>30th June 2024 fee (co-payment) (excl GST)</t>
  </si>
  <si>
    <t>2024/25</t>
  </si>
  <si>
    <t>Rate of GST applying on 30th June 2024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</si>
</sst>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;[Red]\-&quot;$&quot;#,##0.00"/>
    <numFmt numFmtId="164" formatCode="_(* #,##0.00_);_(* \(#,##0.00\);_(* &quot;-&quot;??_);_(@_)"/>
    <numFmt numFmtId="165" formatCode="&quot;$&quot;#,##0.00"/>
    <numFmt numFmtId="166" formatCode="0.0%"/>
    <numFmt numFmtId="167" formatCode="[$$-1409]#,##0.00"/>
    <numFmt numFmtId="168" formatCode="[$$-1409]#,##0"/>
    <numFmt numFmtId="169" formatCode="0.0"/>
    <numFmt numFmtId="170" formatCode="&quot;$&quot;#,##0"/>
  </numFmts>
  <fonts count="5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0"/>
      <name val="Arial"/>
      <family val="2"/>
    </font>
    <font>
      <b/>
      <sz val="20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12"/>
      <name val="Arial"/>
      <family val="2"/>
    </font>
    <font>
      <b/>
      <sz val="14"/>
      <color indexed="13"/>
      <name val="Arial"/>
      <family val="2"/>
    </font>
    <font>
      <b/>
      <sz val="12"/>
      <color indexed="53"/>
      <name val="Arial"/>
      <family val="2"/>
    </font>
    <font>
      <b/>
      <sz val="18"/>
      <color indexed="9"/>
      <name val="Arial"/>
      <family val="2"/>
    </font>
    <font>
      <b/>
      <sz val="15.3"/>
      <color indexed="13"/>
      <name val="Arial"/>
      <family val="2"/>
    </font>
    <font>
      <sz val="14"/>
      <color indexed="13"/>
      <name val="Arial"/>
      <family val="2"/>
    </font>
    <font>
      <b/>
      <sz val="14"/>
      <color indexed="52"/>
      <name val="Arial"/>
      <family val="2"/>
    </font>
    <font>
      <sz val="12"/>
      <color indexed="52"/>
      <name val="Arial"/>
      <family val="2"/>
    </font>
    <font>
      <b/>
      <sz val="16"/>
      <color indexed="52"/>
      <name val="Arial"/>
      <family val="2"/>
    </font>
    <font>
      <b/>
      <sz val="11.9"/>
      <color indexed="10"/>
      <name val="Arial"/>
      <family val="2"/>
    </font>
    <font>
      <b/>
      <sz val="14"/>
      <color indexed="48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4"/>
      <color indexed="23"/>
      <name val="Arial"/>
      <family val="2"/>
    </font>
    <font>
      <b/>
      <sz val="14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8"/>
      <color indexed="22"/>
      <name val="Arial"/>
      <family val="2"/>
    </font>
    <font>
      <sz val="10"/>
      <color indexed="61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2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61"/>
      <name val="Arial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1"/>
      <color rgb="FFFF0000"/>
      <name val="Arial"/>
      <family val="2"/>
    </font>
    <font>
      <b/>
      <sz val="10"/>
      <color rgb="FF808080"/>
      <name val="Arial"/>
      <family val="2"/>
    </font>
    <font>
      <b/>
      <sz val="16"/>
      <color theme="0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42" fillId="9" borderId="0" applyNumberFormat="0" applyBorder="0" applyAlignment="0" applyProtection="0"/>
    <xf numFmtId="0" fontId="43" fillId="10" borderId="22" applyNumberFormat="0" applyAlignment="0" applyProtection="0"/>
    <xf numFmtId="164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7" fontId="0" fillId="3" borderId="2" xfId="0" applyNumberFormat="1" applyFill="1" applyBorder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167" fontId="5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7" fontId="9" fillId="3" borderId="0" xfId="0" applyNumberFormat="1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7" fontId="0" fillId="4" borderId="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6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/>
    <xf numFmtId="0" fontId="2" fillId="4" borderId="0" xfId="0" applyFont="1" applyFill="1"/>
    <xf numFmtId="0" fontId="0" fillId="4" borderId="0" xfId="0" applyFill="1"/>
    <xf numFmtId="0" fontId="18" fillId="6" borderId="0" xfId="0" applyFont="1" applyFill="1"/>
    <xf numFmtId="0" fontId="19" fillId="6" borderId="0" xfId="0" applyFont="1" applyFill="1"/>
    <xf numFmtId="0" fontId="10" fillId="6" borderId="0" xfId="0" applyFont="1" applyFill="1"/>
    <xf numFmtId="0" fontId="20" fillId="6" borderId="0" xfId="0" applyFont="1" applyFill="1"/>
    <xf numFmtId="0" fontId="8" fillId="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21" fillId="6" borderId="0" xfId="0" applyFont="1" applyFill="1"/>
    <xf numFmtId="0" fontId="22" fillId="6" borderId="0" xfId="0" applyFont="1" applyFill="1"/>
    <xf numFmtId="0" fontId="25" fillId="2" borderId="0" xfId="0" applyFont="1" applyFill="1"/>
    <xf numFmtId="167" fontId="26" fillId="4" borderId="3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167" fontId="27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3" fontId="26" fillId="4" borderId="15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67" fontId="26" fillId="3" borderId="0" xfId="0" applyNumberFormat="1" applyFont="1" applyFill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 wrapText="1"/>
    </xf>
    <xf numFmtId="10" fontId="7" fillId="4" borderId="3" xfId="0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horizontal="left"/>
    </xf>
    <xf numFmtId="0" fontId="33" fillId="4" borderId="1" xfId="0" applyFont="1" applyFill="1" applyBorder="1" applyAlignment="1" applyProtection="1">
      <alignment horizontal="center" vertical="center"/>
      <protection locked="0"/>
    </xf>
    <xf numFmtId="167" fontId="13" fillId="4" borderId="5" xfId="0" applyNumberFormat="1" applyFont="1" applyFill="1" applyBorder="1" applyAlignment="1">
      <alignment horizontal="center" vertical="center"/>
    </xf>
    <xf numFmtId="166" fontId="6" fillId="2" borderId="15" xfId="4" applyNumberFormat="1" applyFont="1" applyFill="1" applyBorder="1" applyAlignment="1">
      <alignment horizontal="center"/>
    </xf>
    <xf numFmtId="166" fontId="6" fillId="2" borderId="6" xfId="4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6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34" fillId="2" borderId="0" xfId="0" applyFont="1" applyFill="1"/>
    <xf numFmtId="0" fontId="6" fillId="8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167" fontId="7" fillId="0" borderId="3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167" fontId="27" fillId="3" borderId="0" xfId="0" applyNumberFormat="1" applyFont="1" applyFill="1" applyAlignment="1">
      <alignment horizontal="center" vertical="center"/>
    </xf>
    <xf numFmtId="9" fontId="35" fillId="2" borderId="0" xfId="0" applyNumberFormat="1" applyFont="1" applyFill="1"/>
    <xf numFmtId="166" fontId="19" fillId="6" borderId="0" xfId="0" applyNumberFormat="1" applyFont="1" applyFill="1" applyAlignment="1">
      <alignment horizontal="left"/>
    </xf>
    <xf numFmtId="3" fontId="7" fillId="4" borderId="3" xfId="0" applyNumberFormat="1" applyFont="1" applyFill="1" applyBorder="1" applyAlignment="1">
      <alignment horizontal="center" vertical="center"/>
    </xf>
    <xf numFmtId="0" fontId="44" fillId="11" borderId="0" xfId="0" applyFont="1" applyFill="1"/>
    <xf numFmtId="0" fontId="0" fillId="11" borderId="0" xfId="0" applyFill="1"/>
    <xf numFmtId="0" fontId="5" fillId="5" borderId="0" xfId="0" applyFont="1" applyFill="1" applyAlignment="1">
      <alignment horizontal="left" vertical="top" wrapText="1"/>
    </xf>
    <xf numFmtId="0" fontId="9" fillId="5" borderId="16" xfId="0" applyFont="1" applyFill="1" applyBorder="1" applyAlignment="1">
      <alignment horizontal="left" vertical="top"/>
    </xf>
    <xf numFmtId="0" fontId="9" fillId="5" borderId="16" xfId="0" applyFont="1" applyFill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10" fontId="2" fillId="2" borderId="0" xfId="0" applyNumberFormat="1" applyFont="1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10" fontId="10" fillId="2" borderId="14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169" fontId="3" fillId="3" borderId="1" xfId="0" applyNumberFormat="1" applyFont="1" applyFill="1" applyBorder="1" applyAlignment="1">
      <alignment horizontal="center" vertical="center"/>
    </xf>
    <xf numFmtId="169" fontId="0" fillId="3" borderId="0" xfId="0" applyNumberFormat="1" applyFill="1"/>
    <xf numFmtId="167" fontId="6" fillId="4" borderId="3" xfId="0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165" fontId="6" fillId="5" borderId="16" xfId="0" applyNumberFormat="1" applyFont="1" applyFill="1" applyBorder="1" applyAlignment="1">
      <alignment horizontal="center" vertical="center"/>
    </xf>
    <xf numFmtId="170" fontId="6" fillId="5" borderId="0" xfId="0" applyNumberFormat="1" applyFont="1" applyFill="1" applyAlignment="1">
      <alignment horizontal="center" vertical="center"/>
    </xf>
    <xf numFmtId="10" fontId="6" fillId="5" borderId="0" xfId="0" applyNumberFormat="1" applyFont="1" applyFill="1" applyAlignment="1">
      <alignment horizontal="center" vertical="center"/>
    </xf>
    <xf numFmtId="10" fontId="6" fillId="3" borderId="0" xfId="0" applyNumberFormat="1" applyFont="1" applyFill="1" applyAlignment="1">
      <alignment horizontal="center" vertical="center"/>
    </xf>
    <xf numFmtId="3" fontId="4" fillId="12" borderId="3" xfId="0" applyNumberFormat="1" applyFont="1" applyFill="1" applyBorder="1" applyAlignment="1" applyProtection="1">
      <alignment horizontal="center" vertical="center"/>
      <protection locked="0"/>
    </xf>
    <xf numFmtId="167" fontId="4" fillId="13" borderId="3" xfId="0" applyNumberFormat="1" applyFont="1" applyFill="1" applyBorder="1" applyAlignment="1" applyProtection="1">
      <alignment horizontal="center" vertical="center"/>
      <protection locked="0"/>
    </xf>
    <xf numFmtId="10" fontId="0" fillId="2" borderId="0" xfId="0" applyNumberFormat="1" applyFill="1"/>
    <xf numFmtId="0" fontId="27" fillId="3" borderId="2" xfId="0" applyFont="1" applyFill="1" applyBorder="1" applyAlignment="1">
      <alignment horizontal="center" vertical="center"/>
    </xf>
    <xf numFmtId="3" fontId="27" fillId="3" borderId="2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0" fontId="10" fillId="3" borderId="0" xfId="5" applyNumberFormat="1" applyFont="1" applyFill="1" applyBorder="1" applyAlignment="1">
      <alignment horizontal="center" vertical="center"/>
    </xf>
    <xf numFmtId="10" fontId="34" fillId="3" borderId="0" xfId="5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/>
    <xf numFmtId="0" fontId="45" fillId="2" borderId="0" xfId="0" applyFont="1" applyFill="1"/>
    <xf numFmtId="10" fontId="39" fillId="3" borderId="0" xfId="0" applyNumberFormat="1" applyFont="1" applyFill="1" applyAlignment="1">
      <alignment horizontal="center" vertical="center"/>
    </xf>
    <xf numFmtId="166" fontId="38" fillId="5" borderId="0" xfId="5" applyNumberFormat="1" applyFill="1" applyBorder="1" applyAlignment="1">
      <alignment horizontal="center" vertical="center"/>
    </xf>
    <xf numFmtId="168" fontId="37" fillId="5" borderId="0" xfId="0" applyNumberFormat="1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167" fontId="10" fillId="3" borderId="0" xfId="0" applyNumberFormat="1" applyFont="1" applyFill="1" applyAlignment="1">
      <alignment horizontal="center" vertical="center"/>
    </xf>
    <xf numFmtId="166" fontId="31" fillId="5" borderId="0" xfId="5" applyNumberFormat="1" applyFont="1" applyFill="1" applyBorder="1" applyAlignment="1">
      <alignment horizontal="center" vertical="center"/>
    </xf>
    <xf numFmtId="166" fontId="30" fillId="3" borderId="0" xfId="0" applyNumberFormat="1" applyFont="1" applyFill="1" applyAlignment="1">
      <alignment horizontal="center" vertical="center"/>
    </xf>
    <xf numFmtId="0" fontId="40" fillId="3" borderId="0" xfId="0" applyFont="1" applyFill="1"/>
    <xf numFmtId="0" fontId="41" fillId="5" borderId="0" xfId="0" applyFont="1" applyFill="1" applyAlignment="1">
      <alignment horizontal="center"/>
    </xf>
    <xf numFmtId="0" fontId="40" fillId="5" borderId="0" xfId="0" applyFont="1" applyFill="1"/>
    <xf numFmtId="0" fontId="33" fillId="5" borderId="0" xfId="0" applyFont="1" applyFill="1" applyAlignment="1">
      <alignment horizontal="center"/>
    </xf>
    <xf numFmtId="167" fontId="46" fillId="3" borderId="0" xfId="0" applyNumberFormat="1" applyFont="1" applyFill="1" applyAlignment="1">
      <alignment vertical="center" wrapText="1"/>
    </xf>
    <xf numFmtId="167" fontId="40" fillId="3" borderId="0" xfId="0" applyNumberFormat="1" applyFont="1" applyFill="1" applyAlignment="1">
      <alignment horizontal="center" vertical="center"/>
    </xf>
    <xf numFmtId="0" fontId="41" fillId="5" borderId="0" xfId="0" applyFont="1" applyFill="1" applyAlignment="1">
      <alignment horizontal="left"/>
    </xf>
    <xf numFmtId="167" fontId="34" fillId="3" borderId="0" xfId="0" applyNumberFormat="1" applyFont="1" applyFill="1" applyAlignment="1">
      <alignment horizontal="left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1" xfId="0" applyFont="1" applyFill="1" applyBorder="1" applyAlignment="1" applyProtection="1">
      <alignment horizontal="center" vertical="center"/>
      <protection locked="0"/>
    </xf>
    <xf numFmtId="10" fontId="47" fillId="4" borderId="20" xfId="5" applyNumberFormat="1" applyFont="1" applyFill="1" applyBorder="1" applyAlignment="1" applyProtection="1">
      <alignment horizontal="center" vertical="center"/>
      <protection locked="0"/>
    </xf>
    <xf numFmtId="0" fontId="47" fillId="4" borderId="2" xfId="0" applyFont="1" applyFill="1" applyBorder="1" applyAlignment="1">
      <alignment horizontal="center" vertical="center"/>
    </xf>
    <xf numFmtId="167" fontId="47" fillId="4" borderId="5" xfId="0" applyNumberFormat="1" applyFont="1" applyFill="1" applyBorder="1" applyAlignment="1">
      <alignment horizontal="center" vertical="center"/>
    </xf>
    <xf numFmtId="10" fontId="13" fillId="4" borderId="20" xfId="5" applyNumberFormat="1" applyFont="1" applyFill="1" applyBorder="1" applyAlignment="1" applyProtection="1">
      <alignment horizontal="center" vertical="center"/>
    </xf>
    <xf numFmtId="10" fontId="13" fillId="4" borderId="20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31" fillId="3" borderId="0" xfId="0" applyFont="1" applyFill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0" xfId="0" applyFill="1" applyAlignment="1">
      <alignment horizontal="left" vertical="top" wrapText="1"/>
    </xf>
    <xf numFmtId="167" fontId="5" fillId="3" borderId="2" xfId="0" applyNumberFormat="1" applyFont="1" applyFill="1" applyBorder="1" applyAlignment="1">
      <alignment horizontal="left" vertical="top"/>
    </xf>
    <xf numFmtId="167" fontId="0" fillId="3" borderId="0" xfId="0" applyNumberFormat="1" applyFill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166" fontId="9" fillId="6" borderId="0" xfId="0" applyNumberFormat="1" applyFont="1" applyFill="1" applyAlignment="1">
      <alignment horizontal="left"/>
    </xf>
    <xf numFmtId="0" fontId="3" fillId="0" borderId="0" xfId="0" applyFont="1"/>
    <xf numFmtId="165" fontId="0" fillId="0" borderId="0" xfId="0" applyNumberFormat="1"/>
    <xf numFmtId="8" fontId="0" fillId="0" borderId="0" xfId="0" applyNumberFormat="1"/>
    <xf numFmtId="0" fontId="7" fillId="4" borderId="3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7" fillId="4" borderId="5" xfId="0" applyFont="1" applyFill="1" applyBorder="1" applyAlignment="1">
      <alignment horizontal="left" vertical="center" indent="1"/>
    </xf>
    <xf numFmtId="0" fontId="0" fillId="3" borderId="0" xfId="0" applyFill="1" applyAlignment="1">
      <alignment horizontal="left" indent="1"/>
    </xf>
    <xf numFmtId="0" fontId="34" fillId="6" borderId="0" xfId="0" applyFont="1" applyFill="1"/>
    <xf numFmtId="165" fontId="49" fillId="13" borderId="22" xfId="2" applyNumberFormat="1" applyFont="1" applyFill="1" applyAlignment="1" applyProtection="1">
      <alignment horizontal="center" vertical="center"/>
      <protection locked="0"/>
    </xf>
    <xf numFmtId="0" fontId="9" fillId="5" borderId="0" xfId="0" applyFont="1" applyFill="1" applyAlignment="1">
      <alignment vertical="top"/>
    </xf>
    <xf numFmtId="0" fontId="7" fillId="0" borderId="0" xfId="0" applyFont="1"/>
    <xf numFmtId="0" fontId="1" fillId="0" borderId="0" xfId="0" applyFont="1"/>
    <xf numFmtId="0" fontId="6" fillId="2" borderId="17" xfId="0" applyFont="1" applyFill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0" fontId="10" fillId="2" borderId="17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10" fontId="10" fillId="2" borderId="15" xfId="0" applyNumberFormat="1" applyFont="1" applyFill="1" applyBorder="1" applyAlignment="1">
      <alignment horizontal="center"/>
    </xf>
    <xf numFmtId="0" fontId="48" fillId="9" borderId="0" xfId="1" applyFont="1" applyBorder="1" applyAlignment="1" applyProtection="1">
      <alignment horizontal="center" vertical="center"/>
      <protection locked="0"/>
    </xf>
    <xf numFmtId="0" fontId="11" fillId="7" borderId="0" xfId="0" applyFont="1" applyFill="1" applyAlignment="1">
      <alignment horizontal="center"/>
    </xf>
    <xf numFmtId="0" fontId="0" fillId="0" borderId="0" xfId="0"/>
    <xf numFmtId="0" fontId="9" fillId="5" borderId="0" xfId="0" applyFont="1" applyFill="1" applyAlignment="1">
      <alignment horizontal="left" vertical="top" wrapText="1"/>
    </xf>
    <xf numFmtId="0" fontId="52" fillId="1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/>
    </xf>
    <xf numFmtId="0" fontId="12" fillId="6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7" fontId="46" fillId="3" borderId="21" xfId="0" applyNumberFormat="1" applyFont="1" applyFill="1" applyBorder="1" applyAlignment="1">
      <alignment horizontal="center" vertical="center" wrapText="1"/>
    </xf>
    <xf numFmtId="167" fontId="46" fillId="3" borderId="0" xfId="0" applyNumberFormat="1" applyFont="1" applyFill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4" fillId="3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6">
    <cellStyle name="60% - Accent5" xfId="1" builtinId="48"/>
    <cellStyle name="Calculation" xfId="2" builtinId="22"/>
    <cellStyle name="Comma 2" xfId="3" xr:uid="{00000000-0005-0000-0000-000002000000}"/>
    <cellStyle name="Normal" xfId="0" builtinId="0"/>
    <cellStyle name="Percent" xfId="4" builtinId="5"/>
    <cellStyle name="Percent 2" xfId="5" xr:uid="{00000000-0005-0000-0000-000005000000}"/>
  </cellStyles>
  <dxfs count="33"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31"/>
        </patternFill>
      </fill>
      <border>
        <left/>
        <right/>
        <top/>
        <bottom/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9" defaultPivotStyle="PivotStyleLight16">
    <tableStyle name="Invisible" pivot="0" table="0" count="0" xr9:uid="{E0C4E026-C2F8-48A8-BC82-F3C1F6D554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5" fmlaLink="#REF!" max="401" page="10" val="201"/>
</file>

<file path=xl/ctrlProps/ctrlProp10.xml><?xml version="1.0" encoding="utf-8"?>
<formControlPr xmlns="http://schemas.microsoft.com/office/spreadsheetml/2009/9/main" objectType="Spin" dx="15" fmlaLink="#REF!" max="401" page="10" val="201"/>
</file>

<file path=xl/ctrlProps/ctrlProp11.xml><?xml version="1.0" encoding="utf-8"?>
<formControlPr xmlns="http://schemas.microsoft.com/office/spreadsheetml/2009/9/main" objectType="Spin" dx="15" fmlaLink="#REF!" max="401" page="10" val="201"/>
</file>

<file path=xl/ctrlProps/ctrlProp12.xml><?xml version="1.0" encoding="utf-8"?>
<formControlPr xmlns="http://schemas.microsoft.com/office/spreadsheetml/2009/9/main" objectType="Spin" dx="15" fmlaLink="#REF!" max="401" page="10" val="201"/>
</file>

<file path=xl/ctrlProps/ctrlProp13.xml><?xml version="1.0" encoding="utf-8"?>
<formControlPr xmlns="http://schemas.microsoft.com/office/spreadsheetml/2009/9/main" objectType="Spin" dx="15" fmlaLink="#REF!" max="401" page="10" val="201"/>
</file>

<file path=xl/ctrlProps/ctrlProp14.xml><?xml version="1.0" encoding="utf-8"?>
<formControlPr xmlns="http://schemas.microsoft.com/office/spreadsheetml/2009/9/main" objectType="Spin" dx="15" fmlaLink="#REF!" max="401" page="10" val="206"/>
</file>

<file path=xl/ctrlProps/ctrlProp15.xml><?xml version="1.0" encoding="utf-8"?>
<formControlPr xmlns="http://schemas.microsoft.com/office/spreadsheetml/2009/9/main" objectType="Spin" dx="15" fmlaLink="#REF!" max="401" page="10" val="201"/>
</file>

<file path=xl/ctrlProps/ctrlProp16.xml><?xml version="1.0" encoding="utf-8"?>
<formControlPr xmlns="http://schemas.microsoft.com/office/spreadsheetml/2009/9/main" objectType="Spin" dx="15" fmlaLink="#REF!" max="401" page="10" val="201"/>
</file>

<file path=xl/ctrlProps/ctrlProp17.xml><?xml version="1.0" encoding="utf-8"?>
<formControlPr xmlns="http://schemas.microsoft.com/office/spreadsheetml/2009/9/main" objectType="Spin" dx="15" fmlaLink="#REF!" max="401" page="10" val="201"/>
</file>

<file path=xl/ctrlProps/ctrlProp18.xml><?xml version="1.0" encoding="utf-8"?>
<formControlPr xmlns="http://schemas.microsoft.com/office/spreadsheetml/2009/9/main" objectType="Spin" dx="15" fmlaLink="#REF!" max="401" page="10" val="201"/>
</file>

<file path=xl/ctrlProps/ctrlProp19.xml><?xml version="1.0" encoding="utf-8"?>
<formControlPr xmlns="http://schemas.microsoft.com/office/spreadsheetml/2009/9/main" objectType="Spin" dx="15" fmlaLink="#REF!" max="401" page="10" val="201"/>
</file>

<file path=xl/ctrlProps/ctrlProp2.xml><?xml version="1.0" encoding="utf-8"?>
<formControlPr xmlns="http://schemas.microsoft.com/office/spreadsheetml/2009/9/main" objectType="Spin" dx="15" fmlaLink="#REF!" max="401" page="10" val="201"/>
</file>

<file path=xl/ctrlProps/ctrlProp20.xml><?xml version="1.0" encoding="utf-8"?>
<formControlPr xmlns="http://schemas.microsoft.com/office/spreadsheetml/2009/9/main" objectType="Spin" dx="15" fmlaLink="#REF!" max="401" page="10" val="201"/>
</file>

<file path=xl/ctrlProps/ctrlProp21.xml><?xml version="1.0" encoding="utf-8"?>
<formControlPr xmlns="http://schemas.microsoft.com/office/spreadsheetml/2009/9/main" objectType="Spin" dx="15" fmlaLink="#REF!" max="401" page="10" val="201"/>
</file>

<file path=xl/ctrlProps/ctrlProp22.xml><?xml version="1.0" encoding="utf-8"?>
<formControlPr xmlns="http://schemas.microsoft.com/office/spreadsheetml/2009/9/main" objectType="Spin" dx="15" fmlaLink="#REF!" max="401" page="10" val="201"/>
</file>

<file path=xl/ctrlProps/ctrlProp23.xml><?xml version="1.0" encoding="utf-8"?>
<formControlPr xmlns="http://schemas.microsoft.com/office/spreadsheetml/2009/9/main" objectType="Spin" dx="15" fmlaLink="#REF!" max="401" page="10" val="201"/>
</file>

<file path=xl/ctrlProps/ctrlProp24.xml><?xml version="1.0" encoding="utf-8"?>
<formControlPr xmlns="http://schemas.microsoft.com/office/spreadsheetml/2009/9/main" objectType="Spin" dx="15" fmlaLink="#REF!" max="401" page="10" val="201"/>
</file>

<file path=xl/ctrlProps/ctrlProp25.xml><?xml version="1.0" encoding="utf-8"?>
<formControlPr xmlns="http://schemas.microsoft.com/office/spreadsheetml/2009/9/main" objectType="Spin" dx="15" fmlaLink="#REF!" max="401" page="10" val="201"/>
</file>

<file path=xl/ctrlProps/ctrlProp26.xml><?xml version="1.0" encoding="utf-8"?>
<formControlPr xmlns="http://schemas.microsoft.com/office/spreadsheetml/2009/9/main" objectType="Spin" dx="15" fmlaLink="#REF!" max="401" page="10" val="201"/>
</file>

<file path=xl/ctrlProps/ctrlProp27.xml><?xml version="1.0" encoding="utf-8"?>
<formControlPr xmlns="http://schemas.microsoft.com/office/spreadsheetml/2009/9/main" objectType="Spin" dx="15" fmlaLink="#REF!" max="401" page="10" val="201"/>
</file>

<file path=xl/ctrlProps/ctrlProp28.xml><?xml version="1.0" encoding="utf-8"?>
<formControlPr xmlns="http://schemas.microsoft.com/office/spreadsheetml/2009/9/main" objectType="Spin" dx="15" fmlaLink="#REF!" max="401" page="10" val="201"/>
</file>

<file path=xl/ctrlProps/ctrlProp29.xml><?xml version="1.0" encoding="utf-8"?>
<formControlPr xmlns="http://schemas.microsoft.com/office/spreadsheetml/2009/9/main" objectType="Spin" dx="15" fmlaLink="$J$17" max="2000" page="10" val="1000"/>
</file>

<file path=xl/ctrlProps/ctrlProp3.xml><?xml version="1.0" encoding="utf-8"?>
<formControlPr xmlns="http://schemas.microsoft.com/office/spreadsheetml/2009/9/main" objectType="Spin" dx="15" fmlaLink="#REF!" max="401" page="10" val="201"/>
</file>

<file path=xl/ctrlProps/ctrlProp30.xml><?xml version="1.0" encoding="utf-8"?>
<formControlPr xmlns="http://schemas.microsoft.com/office/spreadsheetml/2009/9/main" objectType="Spin" dx="15" fmlaLink="$M$17" max="2000" page="10" val="1000"/>
</file>

<file path=xl/ctrlProps/ctrlProp31.xml><?xml version="1.0" encoding="utf-8"?>
<formControlPr xmlns="http://schemas.microsoft.com/office/spreadsheetml/2009/9/main" objectType="Spin" dx="15" fmlaLink="$J$15" max="2000" page="10" val="1000"/>
</file>

<file path=xl/ctrlProps/ctrlProp32.xml><?xml version="1.0" encoding="utf-8"?>
<formControlPr xmlns="http://schemas.microsoft.com/office/spreadsheetml/2009/9/main" objectType="Spin" dx="15" fmlaLink="$M$15" max="2000" page="10" val="1000"/>
</file>

<file path=xl/ctrlProps/ctrlProp33.xml><?xml version="1.0" encoding="utf-8"?>
<formControlPr xmlns="http://schemas.microsoft.com/office/spreadsheetml/2009/9/main" objectType="Spin" dx="15" fmlaLink="$J$19" max="2000" page="10" val="1000"/>
</file>

<file path=xl/ctrlProps/ctrlProp34.xml><?xml version="1.0" encoding="utf-8"?>
<formControlPr xmlns="http://schemas.microsoft.com/office/spreadsheetml/2009/9/main" objectType="Spin" dx="15" fmlaLink="$M$19" max="2000" page="10" val="1000"/>
</file>

<file path=xl/ctrlProps/ctrlProp35.xml><?xml version="1.0" encoding="utf-8"?>
<formControlPr xmlns="http://schemas.microsoft.com/office/spreadsheetml/2009/9/main" objectType="Spin" dx="15" fmlaLink="$J$23" max="2000" page="10" val="1000"/>
</file>

<file path=xl/ctrlProps/ctrlProp36.xml><?xml version="1.0" encoding="utf-8"?>
<formControlPr xmlns="http://schemas.microsoft.com/office/spreadsheetml/2009/9/main" objectType="Spin" dx="15" fmlaLink="$M$23" max="2000" page="10" val="1000"/>
</file>

<file path=xl/ctrlProps/ctrlProp37.xml><?xml version="1.0" encoding="utf-8"?>
<formControlPr xmlns="http://schemas.microsoft.com/office/spreadsheetml/2009/9/main" objectType="Spin" dx="15" fmlaLink="$J$27" max="2000" page="10" val="1000"/>
</file>

<file path=xl/ctrlProps/ctrlProp38.xml><?xml version="1.0" encoding="utf-8"?>
<formControlPr xmlns="http://schemas.microsoft.com/office/spreadsheetml/2009/9/main" objectType="Spin" dx="15" fmlaLink="$M$27" max="2000" page="10" val="1000"/>
</file>

<file path=xl/ctrlProps/ctrlProp39.xml><?xml version="1.0" encoding="utf-8"?>
<formControlPr xmlns="http://schemas.microsoft.com/office/spreadsheetml/2009/9/main" objectType="Spin" dx="15" fmlaLink="$J$31" max="2000" page="10" val="1000"/>
</file>

<file path=xl/ctrlProps/ctrlProp4.xml><?xml version="1.0" encoding="utf-8"?>
<formControlPr xmlns="http://schemas.microsoft.com/office/spreadsheetml/2009/9/main" objectType="Spin" dx="15" fmlaLink="#REF!" max="401" page="10" val="201"/>
</file>

<file path=xl/ctrlProps/ctrlProp40.xml><?xml version="1.0" encoding="utf-8"?>
<formControlPr xmlns="http://schemas.microsoft.com/office/spreadsheetml/2009/9/main" objectType="Spin" dx="15" fmlaLink="$M$31" max="2000" page="10" val="1000"/>
</file>

<file path=xl/ctrlProps/ctrlProp41.xml><?xml version="1.0" encoding="utf-8"?>
<formControlPr xmlns="http://schemas.microsoft.com/office/spreadsheetml/2009/9/main" objectType="Spin" dx="15" fmlaLink="$J$35" max="2000" page="10" val="1000"/>
</file>

<file path=xl/ctrlProps/ctrlProp42.xml><?xml version="1.0" encoding="utf-8"?>
<formControlPr xmlns="http://schemas.microsoft.com/office/spreadsheetml/2009/9/main" objectType="Spin" dx="15" fmlaLink="$M$35" max="2000" page="10" val="1000"/>
</file>

<file path=xl/ctrlProps/ctrlProp5.xml><?xml version="1.0" encoding="utf-8"?>
<formControlPr xmlns="http://schemas.microsoft.com/office/spreadsheetml/2009/9/main" objectType="Spin" dx="15" fmlaLink="#REF!" max="401" page="10" val="201"/>
</file>

<file path=xl/ctrlProps/ctrlProp6.xml><?xml version="1.0" encoding="utf-8"?>
<formControlPr xmlns="http://schemas.microsoft.com/office/spreadsheetml/2009/9/main" objectType="Spin" dx="15" fmlaLink="#REF!" max="401" page="10" val="201"/>
</file>

<file path=xl/ctrlProps/ctrlProp7.xml><?xml version="1.0" encoding="utf-8"?>
<formControlPr xmlns="http://schemas.microsoft.com/office/spreadsheetml/2009/9/main" objectType="Spin" dx="15" fmlaLink="#REF!" max="401" page="10" val="201"/>
</file>

<file path=xl/ctrlProps/ctrlProp8.xml><?xml version="1.0" encoding="utf-8"?>
<formControlPr xmlns="http://schemas.microsoft.com/office/spreadsheetml/2009/9/main" objectType="Spin" dx="15" fmlaLink="#REF!" max="401" page="10" val="201"/>
</file>

<file path=xl/ctrlProps/ctrlProp9.xml><?xml version="1.0" encoding="utf-8"?>
<formControlPr xmlns="http://schemas.microsoft.com/office/spreadsheetml/2009/9/main" objectType="Spin" dx="15" fmlaLink="#REF!" max="401" page="10" val="20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9525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9525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9525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9525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9525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3077" name="Spinner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9525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8" name="Spinner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38100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38100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38100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38100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3082" name="Spinner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38100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38100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9525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3225" name="Spinner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38100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3226" name="Spinner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9525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3227" name="Spinner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38100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3228" name="Spinner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9525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3235" name="Spinner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38100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3236" name="Spinner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9525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3237" name="Spinner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38100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3238" name="Spinner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9525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3239" name="Spinner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38100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3240" name="Spinner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9525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3241" name="Spinner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38100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3242" name="Spinner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9525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3243" name="Spinner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38100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3244" name="Spinner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9525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3245" name="Spinner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38100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3246" name="Spinner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9525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9525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9525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9525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4101" name="Spinner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9525</xdr:rowOff>
        </xdr:from>
        <xdr:to>
          <xdr:col>14</xdr:col>
          <xdr:colOff>0</xdr:colOff>
          <xdr:row>19</xdr:row>
          <xdr:rowOff>0</xdr:rowOff>
        </xdr:to>
        <xdr:sp macro="" textlink="">
          <xdr:nvSpPr>
            <xdr:cNvPr id="4102" name="Spinner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9525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4103" name="Spinner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4104" name="Spinner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9525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4105" name="Spinner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26</xdr:row>
          <xdr:rowOff>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4106" name="Spinner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30</xdr:row>
          <xdr:rowOff>9525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4107" name="Spinner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0</xdr:rowOff>
        </xdr:from>
        <xdr:to>
          <xdr:col>14</xdr:col>
          <xdr:colOff>0</xdr:colOff>
          <xdr:row>31</xdr:row>
          <xdr:rowOff>9525</xdr:rowOff>
        </xdr:to>
        <xdr:sp macro="" textlink="">
          <xdr:nvSpPr>
            <xdr:cNvPr id="4108" name="Spinner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34</xdr:row>
          <xdr:rowOff>9525</xdr:rowOff>
        </xdr:from>
        <xdr:to>
          <xdr:col>11</xdr:col>
          <xdr:colOff>0</xdr:colOff>
          <xdr:row>35</xdr:row>
          <xdr:rowOff>0</xdr:rowOff>
        </xdr:to>
        <xdr:sp macro="" textlink="">
          <xdr:nvSpPr>
            <xdr:cNvPr id="4109" name="Spinner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34</xdr:row>
          <xdr:rowOff>9525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4110" name="Spinner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519"/>
  <sheetViews>
    <sheetView showGridLines="0" showRowColHeaders="0" tabSelected="1" zoomScale="85" zoomScaleNormal="85" zoomScaleSheetLayoutView="70" workbookViewId="0">
      <selection activeCell="D18" sqref="D18"/>
    </sheetView>
  </sheetViews>
  <sheetFormatPr defaultRowHeight="12.75" x14ac:dyDescent="0.2"/>
  <cols>
    <col min="1" max="1" width="3.42578125" customWidth="1"/>
    <col min="2" max="2" width="2.42578125" customWidth="1"/>
    <col min="3" max="3" width="28.140625" customWidth="1"/>
    <col min="4" max="4" width="17.85546875" customWidth="1"/>
    <col min="5" max="5" width="21.85546875" customWidth="1"/>
    <col min="6" max="6" width="23.85546875" customWidth="1"/>
    <col min="7" max="7" width="24.42578125" customWidth="1"/>
    <col min="8" max="8" width="20.42578125" customWidth="1"/>
    <col min="9" max="9" width="1.85546875" customWidth="1"/>
  </cols>
  <sheetData>
    <row r="1" spans="1:30" ht="36.75" customHeight="1" x14ac:dyDescent="0.2">
      <c r="B1" s="182" t="s">
        <v>89</v>
      </c>
      <c r="C1" s="182"/>
      <c r="D1" s="182"/>
      <c r="E1" s="182"/>
      <c r="F1" s="182"/>
      <c r="G1" s="182"/>
      <c r="H1" s="182"/>
      <c r="I1" s="182"/>
    </row>
    <row r="3" spans="1:30" ht="30.2" customHeight="1" x14ac:dyDescent="0.2">
      <c r="A3" s="91"/>
      <c r="B3" s="178" t="s">
        <v>29</v>
      </c>
      <c r="C3" s="178"/>
      <c r="D3" s="178"/>
      <c r="E3" s="178"/>
      <c r="F3" s="178"/>
      <c r="G3" s="178"/>
      <c r="H3" s="178"/>
      <c r="I3" s="17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2.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26.45" customHeight="1" x14ac:dyDescent="0.4">
      <c r="A5" s="2"/>
      <c r="B5" s="179" t="s">
        <v>83</v>
      </c>
      <c r="C5" s="180"/>
      <c r="D5" s="180"/>
      <c r="E5" s="180"/>
      <c r="F5" s="180"/>
      <c r="G5" s="180"/>
      <c r="H5" s="180"/>
      <c r="I5" s="18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0.25" x14ac:dyDescent="0.3">
      <c r="A7" s="2"/>
      <c r="B7" s="50"/>
      <c r="C7" s="56" t="s">
        <v>14</v>
      </c>
      <c r="D7" s="51"/>
      <c r="E7" s="51"/>
      <c r="F7" s="50" t="s">
        <v>19</v>
      </c>
      <c r="G7" s="50"/>
      <c r="H7" s="50"/>
      <c r="I7" s="5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x14ac:dyDescent="0.25">
      <c r="A8" s="2"/>
      <c r="B8" s="50"/>
      <c r="C8" s="51"/>
      <c r="D8" s="51"/>
      <c r="E8" s="51"/>
      <c r="F8" s="50" t="s">
        <v>18</v>
      </c>
      <c r="G8" s="50"/>
      <c r="H8" s="50"/>
      <c r="I8" s="5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.75" x14ac:dyDescent="0.25">
      <c r="A9" s="2"/>
      <c r="B9" s="50"/>
      <c r="C9" s="51"/>
      <c r="D9" s="51"/>
      <c r="E9" s="51"/>
      <c r="F9" s="168" t="str">
        <f>"30 June 2024 fee (co-payment) by age group inclusive of GST at "&amp;TEXT(PreviousGSTRate,"#0.0%")</f>
        <v>30 June 2024 fee (co-payment) by age group inclusive of GST at 15.0%</v>
      </c>
      <c r="G9" s="50"/>
      <c r="H9" s="50"/>
      <c r="I9" s="5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.75" x14ac:dyDescent="0.25">
      <c r="A10" s="2"/>
      <c r="B10" s="50"/>
      <c r="C10" s="51"/>
      <c r="D10" s="51"/>
      <c r="E10" s="51"/>
      <c r="F10" s="50" t="s">
        <v>46</v>
      </c>
      <c r="G10" s="50"/>
      <c r="H10" s="50"/>
      <c r="I10" s="5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0.5" customHeight="1" x14ac:dyDescent="0.2">
      <c r="A11" s="2"/>
      <c r="B11" s="51"/>
      <c r="C11" s="51"/>
      <c r="D11" s="51"/>
      <c r="E11" s="51"/>
      <c r="F11" s="51"/>
      <c r="G11" s="51"/>
      <c r="H11" s="51"/>
      <c r="I11" s="5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3.2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4.7" customHeight="1" x14ac:dyDescent="0.2">
      <c r="A13" s="2"/>
      <c r="B13" s="45"/>
      <c r="C13" s="4"/>
      <c r="D13" s="4"/>
      <c r="E13" s="4"/>
      <c r="F13" s="4"/>
      <c r="G13" s="4"/>
      <c r="H13" s="4"/>
      <c r="I13" s="4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0.75" customHeight="1" x14ac:dyDescent="0.2">
      <c r="A14" s="2"/>
      <c r="B14" s="45"/>
      <c r="C14" s="6"/>
      <c r="D14" s="6"/>
      <c r="E14" s="6"/>
      <c r="F14" s="6"/>
      <c r="G14" s="6"/>
      <c r="H14" s="6"/>
      <c r="I14" s="4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.25" customHeight="1" x14ac:dyDescent="0.2">
      <c r="A15" s="2"/>
      <c r="B15" s="45"/>
      <c r="C15" s="6"/>
      <c r="D15" s="6"/>
      <c r="E15" s="6"/>
      <c r="F15" s="6"/>
      <c r="G15" s="6"/>
      <c r="H15" s="6"/>
      <c r="I15" s="4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s="1" customFormat="1" ht="39.200000000000003" customHeight="1" x14ac:dyDescent="0.2">
      <c r="A16" s="3"/>
      <c r="B16" s="44"/>
      <c r="C16" s="19" t="s">
        <v>1</v>
      </c>
      <c r="D16" s="20" t="s">
        <v>17</v>
      </c>
      <c r="E16" s="20" t="s">
        <v>23</v>
      </c>
      <c r="F16" s="19" t="str">
        <f>"30th June 2024 fee (co-payment) (incl GST @ "&amp;TEXT(PreviousGSTRate,"#0.0%")&amp;")"</f>
        <v>30th June 2024 fee (co-payment) (incl GST @ 15.0%)</v>
      </c>
      <c r="G16" s="19" t="s">
        <v>93</v>
      </c>
      <c r="H16" s="19" t="s">
        <v>38</v>
      </c>
      <c r="I16" s="4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1" customFormat="1" ht="15" customHeight="1" x14ac:dyDescent="0.2">
      <c r="A17" s="3"/>
      <c r="B17" s="44"/>
      <c r="C17" s="8"/>
      <c r="D17" s="9"/>
      <c r="E17" s="9"/>
      <c r="F17" s="43"/>
      <c r="G17" s="43"/>
      <c r="H17" s="43"/>
      <c r="I17" s="44"/>
      <c r="J17" s="3"/>
      <c r="K17" s="3"/>
      <c r="L17" s="9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" customHeight="1" x14ac:dyDescent="0.2">
      <c r="A18" s="2"/>
      <c r="B18" s="45"/>
      <c r="C18" s="164" t="s">
        <v>0</v>
      </c>
      <c r="D18" s="116">
        <v>0</v>
      </c>
      <c r="E18" s="116">
        <v>0</v>
      </c>
      <c r="F18" s="117">
        <v>0</v>
      </c>
      <c r="G18" s="89">
        <f>F18/(1+PreviousGSTRate)</f>
        <v>0</v>
      </c>
      <c r="H18" s="89">
        <f>E18*G18</f>
        <v>0</v>
      </c>
      <c r="I18" s="45"/>
      <c r="J18" s="2"/>
      <c r="K18" s="2"/>
      <c r="L18" s="9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" customHeight="1" x14ac:dyDescent="0.2">
      <c r="A19" s="2"/>
      <c r="B19" s="45"/>
      <c r="C19" s="165"/>
      <c r="D19" s="9"/>
      <c r="E19" s="108"/>
      <c r="F19" s="43"/>
      <c r="G19" s="43"/>
      <c r="H19" s="9"/>
      <c r="I19" s="45"/>
      <c r="J19" s="2"/>
      <c r="K19" s="2"/>
      <c r="L19" s="9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" customHeight="1" x14ac:dyDescent="0.2">
      <c r="A20" s="2"/>
      <c r="B20" s="45"/>
      <c r="C20" s="164" t="s">
        <v>55</v>
      </c>
      <c r="D20" s="116">
        <v>0</v>
      </c>
      <c r="E20" s="116">
        <v>0</v>
      </c>
      <c r="F20" s="117">
        <v>0</v>
      </c>
      <c r="G20" s="89">
        <f>F20/(1+PreviousGSTRate)</f>
        <v>0</v>
      </c>
      <c r="H20" s="89">
        <f>E20*G20</f>
        <v>0</v>
      </c>
      <c r="I20" s="45"/>
      <c r="J20" s="2"/>
      <c r="K20" s="2"/>
      <c r="L20" s="9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" customHeight="1" x14ac:dyDescent="0.2">
      <c r="A21" s="2"/>
      <c r="B21" s="45"/>
      <c r="C21" s="165"/>
      <c r="D21" s="9"/>
      <c r="E21" s="108"/>
      <c r="F21" s="43"/>
      <c r="G21" s="43"/>
      <c r="H21" s="9"/>
      <c r="I21" s="45"/>
      <c r="J21" s="2"/>
      <c r="K21" s="2"/>
      <c r="L21" s="9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" customHeight="1" x14ac:dyDescent="0.2">
      <c r="A22" s="2"/>
      <c r="B22" s="45"/>
      <c r="C22" s="166" t="s">
        <v>56</v>
      </c>
      <c r="D22" s="116">
        <v>0</v>
      </c>
      <c r="E22" s="116">
        <v>0</v>
      </c>
      <c r="F22" s="117">
        <v>0</v>
      </c>
      <c r="G22" s="89">
        <f>F22/(1+PreviousGSTRate)</f>
        <v>0</v>
      </c>
      <c r="H22" s="89">
        <f>E22*G22</f>
        <v>0</v>
      </c>
      <c r="I22" s="45"/>
      <c r="J22" s="2"/>
      <c r="K22" s="2"/>
      <c r="L22" s="9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" customHeight="1" x14ac:dyDescent="0.2">
      <c r="A23" s="2"/>
      <c r="B23" s="45"/>
      <c r="C23" s="165"/>
      <c r="D23" s="9"/>
      <c r="E23" s="108"/>
      <c r="F23" s="43"/>
      <c r="G23" s="43"/>
      <c r="H23" s="9"/>
      <c r="I23" s="45"/>
      <c r="J23" s="2"/>
      <c r="K23" s="2"/>
      <c r="L23" s="9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" customHeight="1" x14ac:dyDescent="0.2">
      <c r="A24" s="2"/>
      <c r="B24" s="45"/>
      <c r="C24" s="166" t="s">
        <v>57</v>
      </c>
      <c r="D24" s="116">
        <v>0</v>
      </c>
      <c r="E24" s="116">
        <v>0</v>
      </c>
      <c r="F24" s="117">
        <v>0</v>
      </c>
      <c r="G24" s="89">
        <f>F24/(1+PreviousGSTRate)</f>
        <v>0</v>
      </c>
      <c r="H24" s="89">
        <f>E24*G24</f>
        <v>0</v>
      </c>
      <c r="I24" s="45"/>
      <c r="J24" s="2"/>
      <c r="K24" s="2"/>
      <c r="L24" s="9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" customHeight="1" x14ac:dyDescent="0.2">
      <c r="A25" s="2"/>
      <c r="B25" s="45"/>
      <c r="C25" s="165"/>
      <c r="D25" s="9"/>
      <c r="E25" s="108"/>
      <c r="F25" s="43"/>
      <c r="G25" s="43"/>
      <c r="H25" s="9"/>
      <c r="I25" s="45"/>
      <c r="J25" s="2"/>
      <c r="K25" s="2"/>
      <c r="L25" s="9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 customHeight="1" x14ac:dyDescent="0.2">
      <c r="A26" s="2"/>
      <c r="B26" s="45"/>
      <c r="C26" s="166" t="s">
        <v>58</v>
      </c>
      <c r="D26" s="116">
        <v>0</v>
      </c>
      <c r="E26" s="116">
        <v>0</v>
      </c>
      <c r="F26" s="117">
        <v>0</v>
      </c>
      <c r="G26" s="89">
        <f>F26/(1+PreviousGSTRate)</f>
        <v>0</v>
      </c>
      <c r="H26" s="89">
        <f>E26*G26</f>
        <v>0</v>
      </c>
      <c r="I26" s="45"/>
      <c r="J26" s="2"/>
      <c r="K26" s="2"/>
      <c r="L26" s="9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 customHeight="1" x14ac:dyDescent="0.2">
      <c r="A27" s="2"/>
      <c r="B27" s="45"/>
      <c r="C27" s="165"/>
      <c r="D27" s="9"/>
      <c r="E27" s="108"/>
      <c r="F27" s="43"/>
      <c r="G27" s="43"/>
      <c r="H27" s="9"/>
      <c r="I27" s="45"/>
      <c r="J27" s="2"/>
      <c r="K27" s="2"/>
      <c r="L27" s="9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 customHeight="1" x14ac:dyDescent="0.2">
      <c r="A28" s="2"/>
      <c r="B28" s="45"/>
      <c r="C28" s="166" t="s">
        <v>59</v>
      </c>
      <c r="D28" s="116">
        <v>0</v>
      </c>
      <c r="E28" s="116">
        <v>0</v>
      </c>
      <c r="F28" s="117">
        <v>0</v>
      </c>
      <c r="G28" s="89">
        <f>F28/(1+PreviousGSTRate)</f>
        <v>0</v>
      </c>
      <c r="H28" s="89">
        <f>E28*G28</f>
        <v>0</v>
      </c>
      <c r="I28" s="45"/>
      <c r="J28" s="2"/>
      <c r="K28" s="2"/>
      <c r="L28" s="9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 customHeight="1" x14ac:dyDescent="0.2">
      <c r="A29" s="2"/>
      <c r="B29" s="45"/>
      <c r="C29" s="165"/>
      <c r="D29" s="9"/>
      <c r="E29" s="108"/>
      <c r="F29" s="43"/>
      <c r="G29" s="43"/>
      <c r="H29" s="9"/>
      <c r="I29" s="45"/>
      <c r="J29" s="2"/>
      <c r="K29" s="2"/>
      <c r="L29" s="9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 customHeight="1" x14ac:dyDescent="0.2">
      <c r="A30" s="2"/>
      <c r="B30" s="45"/>
      <c r="C30" s="166" t="s">
        <v>60</v>
      </c>
      <c r="D30" s="116">
        <v>0</v>
      </c>
      <c r="E30" s="116">
        <v>0</v>
      </c>
      <c r="F30" s="117">
        <v>0</v>
      </c>
      <c r="G30" s="89">
        <f>F30/(1+PreviousGSTRate)</f>
        <v>0</v>
      </c>
      <c r="H30" s="89">
        <f>E30*G30</f>
        <v>0</v>
      </c>
      <c r="I30" s="45"/>
      <c r="J30" s="2"/>
      <c r="K30" s="2"/>
      <c r="L30" s="9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 customHeight="1" x14ac:dyDescent="0.2">
      <c r="A31" s="2"/>
      <c r="B31" s="45"/>
      <c r="C31" s="165"/>
      <c r="D31" s="9"/>
      <c r="E31" s="108"/>
      <c r="F31" s="43"/>
      <c r="G31" s="43"/>
      <c r="H31" s="9"/>
      <c r="I31" s="45"/>
      <c r="J31" s="2"/>
      <c r="K31" s="2"/>
      <c r="L31" s="9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5" customHeight="1" x14ac:dyDescent="0.2">
      <c r="A32" s="2"/>
      <c r="B32" s="45"/>
      <c r="C32" s="166" t="s">
        <v>61</v>
      </c>
      <c r="D32" s="116">
        <v>0</v>
      </c>
      <c r="E32" s="116">
        <v>0</v>
      </c>
      <c r="F32" s="117">
        <v>0</v>
      </c>
      <c r="G32" s="89">
        <f>F32/(1+PreviousGSTRate)</f>
        <v>0</v>
      </c>
      <c r="H32" s="89">
        <f>E32*G32</f>
        <v>0</v>
      </c>
      <c r="I32" s="45"/>
      <c r="J32" s="2"/>
      <c r="K32" s="2"/>
      <c r="L32" s="9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5" customHeight="1" x14ac:dyDescent="0.2">
      <c r="A33" s="2"/>
      <c r="B33" s="45"/>
      <c r="C33" s="165"/>
      <c r="D33" s="9"/>
      <c r="E33" s="108"/>
      <c r="F33" s="43"/>
      <c r="G33" s="43"/>
      <c r="H33" s="9"/>
      <c r="I33" s="45"/>
      <c r="J33" s="2"/>
      <c r="K33" s="2"/>
      <c r="L33" s="9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" customHeight="1" x14ac:dyDescent="0.2">
      <c r="A34" s="2"/>
      <c r="B34" s="45"/>
      <c r="C34" s="166" t="s">
        <v>62</v>
      </c>
      <c r="D34" s="116">
        <v>0</v>
      </c>
      <c r="E34" s="116">
        <v>0</v>
      </c>
      <c r="F34" s="117">
        <v>0</v>
      </c>
      <c r="G34" s="89">
        <f>F34/(1+PreviousGSTRate)</f>
        <v>0</v>
      </c>
      <c r="H34" s="89">
        <f>E34*G34</f>
        <v>0</v>
      </c>
      <c r="I34" s="45"/>
      <c r="J34" s="2"/>
      <c r="K34" s="2"/>
      <c r="L34" s="9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" customHeight="1" x14ac:dyDescent="0.2">
      <c r="A35" s="2"/>
      <c r="B35" s="45"/>
      <c r="C35" s="165"/>
      <c r="D35" s="9"/>
      <c r="E35" s="108"/>
      <c r="F35" s="43"/>
      <c r="G35" s="43"/>
      <c r="H35" s="9"/>
      <c r="I35" s="45"/>
      <c r="J35" s="2"/>
      <c r="K35" s="2"/>
      <c r="L35" s="9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" customHeight="1" x14ac:dyDescent="0.2">
      <c r="A36" s="2"/>
      <c r="B36" s="45"/>
      <c r="C36" s="166" t="s">
        <v>63</v>
      </c>
      <c r="D36" s="116">
        <v>0</v>
      </c>
      <c r="E36" s="116">
        <v>0</v>
      </c>
      <c r="F36" s="117">
        <v>0</v>
      </c>
      <c r="G36" s="89">
        <f>F36/(1+PreviousGSTRate)</f>
        <v>0</v>
      </c>
      <c r="H36" s="89">
        <f>E36*G36</f>
        <v>0</v>
      </c>
      <c r="I36" s="45"/>
      <c r="J36" s="2"/>
      <c r="K36" s="2"/>
      <c r="L36" s="9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" customHeight="1" x14ac:dyDescent="0.2">
      <c r="A37" s="2"/>
      <c r="B37" s="45"/>
      <c r="C37" s="165"/>
      <c r="D37" s="9"/>
      <c r="E37" s="108"/>
      <c r="F37" s="43"/>
      <c r="G37" s="43"/>
      <c r="H37" s="9"/>
      <c r="I37" s="45"/>
      <c r="J37" s="2"/>
      <c r="K37" s="2"/>
      <c r="L37" s="9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" customHeight="1" x14ac:dyDescent="0.2">
      <c r="A38" s="2"/>
      <c r="B38" s="45"/>
      <c r="C38" s="166" t="s">
        <v>64</v>
      </c>
      <c r="D38" s="116">
        <v>0</v>
      </c>
      <c r="E38" s="116">
        <v>0</v>
      </c>
      <c r="F38" s="117">
        <v>0</v>
      </c>
      <c r="G38" s="89">
        <f>F38/(1+PreviousGSTRate)</f>
        <v>0</v>
      </c>
      <c r="H38" s="89">
        <f>E38*G38</f>
        <v>0</v>
      </c>
      <c r="I38" s="45"/>
      <c r="J38" s="2"/>
      <c r="K38" s="2"/>
      <c r="L38" s="9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5" customHeight="1" x14ac:dyDescent="0.2">
      <c r="A39" s="2"/>
      <c r="B39" s="45"/>
      <c r="C39" s="165"/>
      <c r="D39" s="9"/>
      <c r="E39" s="108"/>
      <c r="F39" s="43"/>
      <c r="G39" s="43"/>
      <c r="H39" s="9"/>
      <c r="I39" s="45"/>
      <c r="J39" s="2"/>
      <c r="K39" s="2"/>
      <c r="L39" s="9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" customHeight="1" x14ac:dyDescent="0.2">
      <c r="A40" s="2"/>
      <c r="B40" s="45"/>
      <c r="C40" s="166" t="s">
        <v>65</v>
      </c>
      <c r="D40" s="116">
        <v>0</v>
      </c>
      <c r="E40" s="116">
        <v>0</v>
      </c>
      <c r="F40" s="117">
        <v>0</v>
      </c>
      <c r="G40" s="89">
        <f>F40/(1+PreviousGSTRate)</f>
        <v>0</v>
      </c>
      <c r="H40" s="89">
        <f>E40*G40</f>
        <v>0</v>
      </c>
      <c r="I40" s="45"/>
      <c r="J40" s="2"/>
      <c r="K40" s="2"/>
      <c r="L40" s="9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" customHeight="1" x14ac:dyDescent="0.2">
      <c r="A41" s="2"/>
      <c r="B41" s="45"/>
      <c r="C41" s="167"/>
      <c r="D41" s="43"/>
      <c r="E41" s="109"/>
      <c r="F41" s="4"/>
      <c r="G41" s="4"/>
      <c r="H41" s="4"/>
      <c r="I41" s="4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5" customHeight="1" x14ac:dyDescent="0.2">
      <c r="A42" s="2"/>
      <c r="B42" s="45"/>
      <c r="C42" s="166" t="s">
        <v>16</v>
      </c>
      <c r="D42" s="95">
        <f>SUM(D18:D41)</f>
        <v>0</v>
      </c>
      <c r="E42" s="95">
        <f>SUM(E18:E41)</f>
        <v>0</v>
      </c>
      <c r="F42" s="4"/>
      <c r="G42" s="4"/>
      <c r="H42" s="89">
        <f>SUM(H18:H41)</f>
        <v>0</v>
      </c>
      <c r="I42" s="4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20.25" customHeight="1" x14ac:dyDescent="0.2">
      <c r="A43" s="2"/>
      <c r="B43" s="45"/>
      <c r="C43" s="45"/>
      <c r="D43" s="45"/>
      <c r="E43" s="45"/>
      <c r="F43" s="45"/>
      <c r="G43" s="45"/>
      <c r="H43" s="45"/>
      <c r="I43" s="4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20.25" customHeight="1" x14ac:dyDescent="0.2">
      <c r="A44" s="2"/>
      <c r="B44" s="45"/>
      <c r="C44" s="45"/>
      <c r="D44" s="98" t="str">
        <f>IF(H44=0,"Please Enter ...","")</f>
        <v>Please Enter ...</v>
      </c>
      <c r="E44" s="181" t="s">
        <v>36</v>
      </c>
      <c r="F44" s="181"/>
      <c r="G44" s="88"/>
      <c r="H44" s="169">
        <v>0</v>
      </c>
      <c r="I44" s="45"/>
      <c r="J44" s="96"/>
      <c r="L44" s="96"/>
      <c r="M44" s="9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20.25" customHeight="1" thickBot="1" x14ac:dyDescent="0.25">
      <c r="A45" s="2"/>
      <c r="B45" s="45"/>
      <c r="C45" s="45"/>
      <c r="D45" s="63"/>
      <c r="E45" s="181" t="s">
        <v>37</v>
      </c>
      <c r="F45" s="181"/>
      <c r="G45" s="88"/>
      <c r="H45" s="111">
        <f>H42</f>
        <v>0</v>
      </c>
      <c r="I45" s="4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20.25" customHeight="1" thickBot="1" x14ac:dyDescent="0.25">
      <c r="A46" s="2"/>
      <c r="B46" s="45"/>
      <c r="C46" s="45"/>
      <c r="D46" s="63"/>
      <c r="E46" s="99" t="s">
        <v>39</v>
      </c>
      <c r="F46" s="100"/>
      <c r="G46" s="80"/>
      <c r="H46" s="112">
        <f>SUM(H44:H45)</f>
        <v>0</v>
      </c>
      <c r="I46" s="4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0.25" customHeight="1" x14ac:dyDescent="0.2">
      <c r="A47" s="2"/>
      <c r="B47" s="45"/>
      <c r="C47" s="45"/>
      <c r="D47" s="63"/>
      <c r="E47" s="101"/>
      <c r="F47" s="101"/>
      <c r="G47" s="88"/>
      <c r="H47" s="113"/>
      <c r="I47" s="4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20.25" customHeight="1" x14ac:dyDescent="0.2">
      <c r="A48" s="2"/>
      <c r="B48" s="45"/>
      <c r="C48" s="45"/>
      <c r="D48" s="63"/>
      <c r="E48" s="170" t="s">
        <v>27</v>
      </c>
      <c r="F48" s="170"/>
      <c r="G48" s="87"/>
      <c r="H48" s="114" t="str">
        <f>IF(H46=0,"n/a",H44/H46)</f>
        <v>n/a</v>
      </c>
      <c r="I48" s="4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20.25" customHeight="1" x14ac:dyDescent="0.2">
      <c r="A49" s="2"/>
      <c r="B49" s="45"/>
      <c r="C49" s="45"/>
      <c r="D49" s="63"/>
      <c r="E49" s="170" t="s">
        <v>26</v>
      </c>
      <c r="F49" s="170"/>
      <c r="G49" s="87"/>
      <c r="H49" s="114" t="str">
        <f>IF(H46=0,"n/a",H45/H46)</f>
        <v>n/a</v>
      </c>
      <c r="I49" s="4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20.25" customHeight="1" x14ac:dyDescent="0.2">
      <c r="A50" s="2"/>
      <c r="B50" s="45"/>
      <c r="C50" s="45"/>
      <c r="D50" s="45"/>
      <c r="E50" s="45"/>
      <c r="F50" s="45"/>
      <c r="G50" s="45"/>
      <c r="H50" s="45"/>
      <c r="I50" s="4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20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">
      <c r="A60" s="5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">
      <c r="A61" s="58">
        <v>38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">
      <c r="A62" s="58">
        <v>27.7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">
      <c r="A63" s="5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x14ac:dyDescent="0.2">
      <c r="A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x14ac:dyDescent="0.2">
      <c r="A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x14ac:dyDescent="0.2">
      <c r="A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x14ac:dyDescent="0.2">
      <c r="A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x14ac:dyDescent="0.2">
      <c r="A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x14ac:dyDescent="0.2">
      <c r="A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x14ac:dyDescent="0.2">
      <c r="A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x14ac:dyDescent="0.2">
      <c r="A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x14ac:dyDescent="0.2">
      <c r="A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x14ac:dyDescent="0.2">
      <c r="A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x14ac:dyDescent="0.2">
      <c r="A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x14ac:dyDescent="0.2">
      <c r="A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x14ac:dyDescent="0.2">
      <c r="A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x14ac:dyDescent="0.2">
      <c r="A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x14ac:dyDescent="0.2">
      <c r="A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x14ac:dyDescent="0.2">
      <c r="A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x14ac:dyDescent="0.2">
      <c r="A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x14ac:dyDescent="0.2">
      <c r="A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x14ac:dyDescent="0.2">
      <c r="A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x14ac:dyDescent="0.2">
      <c r="A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x14ac:dyDescent="0.2">
      <c r="A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x14ac:dyDescent="0.2">
      <c r="A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x14ac:dyDescent="0.2">
      <c r="A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x14ac:dyDescent="0.2">
      <c r="A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x14ac:dyDescent="0.2">
      <c r="A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x14ac:dyDescent="0.2">
      <c r="A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x14ac:dyDescent="0.2">
      <c r="A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x14ac:dyDescent="0.2">
      <c r="A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x14ac:dyDescent="0.2">
      <c r="A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x14ac:dyDescent="0.2">
      <c r="A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x14ac:dyDescent="0.2">
      <c r="A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x14ac:dyDescent="0.2">
      <c r="A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x14ac:dyDescent="0.2">
      <c r="A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x14ac:dyDescent="0.2">
      <c r="A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x14ac:dyDescent="0.2">
      <c r="A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x14ac:dyDescent="0.2">
      <c r="A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x14ac:dyDescent="0.2">
      <c r="A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x14ac:dyDescent="0.2">
      <c r="A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x14ac:dyDescent="0.2">
      <c r="A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x14ac:dyDescent="0.2">
      <c r="A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x14ac:dyDescent="0.2"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x14ac:dyDescent="0.2"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x14ac:dyDescent="0.2"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x14ac:dyDescent="0.2"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x14ac:dyDescent="0.2"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x14ac:dyDescent="0.2"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x14ac:dyDescent="0.2"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x14ac:dyDescent="0.2"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x14ac:dyDescent="0.2"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x14ac:dyDescent="0.2"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1:30" x14ac:dyDescent="0.2"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1:30" x14ac:dyDescent="0.2"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1:30" x14ac:dyDescent="0.2"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1:30" x14ac:dyDescent="0.2"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1:30" x14ac:dyDescent="0.2"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1:30" x14ac:dyDescent="0.2"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1:30" x14ac:dyDescent="0.2"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1:30" x14ac:dyDescent="0.2"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1:30" x14ac:dyDescent="0.2"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1:30" x14ac:dyDescent="0.2"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1:30" x14ac:dyDescent="0.2"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1:30" x14ac:dyDescent="0.2"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1:30" x14ac:dyDescent="0.2"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1:30" x14ac:dyDescent="0.2"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1:30" x14ac:dyDescent="0.2"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1:30" x14ac:dyDescent="0.2"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1:30" x14ac:dyDescent="0.2"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1:30" x14ac:dyDescent="0.2"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1:30" x14ac:dyDescent="0.2"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1:30" x14ac:dyDescent="0.2"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1:30" x14ac:dyDescent="0.2"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1:30" x14ac:dyDescent="0.2"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1:30" x14ac:dyDescent="0.2"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1:30" x14ac:dyDescent="0.2"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1:30" x14ac:dyDescent="0.2"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1:30" x14ac:dyDescent="0.2"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1:30" x14ac:dyDescent="0.2"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1:30" x14ac:dyDescent="0.2"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1:30" x14ac:dyDescent="0.2"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1:30" x14ac:dyDescent="0.2"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1:30" x14ac:dyDescent="0.2"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1:30" x14ac:dyDescent="0.2"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1:30" x14ac:dyDescent="0.2"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1:30" x14ac:dyDescent="0.2"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1:30" x14ac:dyDescent="0.2"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1:30" x14ac:dyDescent="0.2"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1:30" x14ac:dyDescent="0.2"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1:30" x14ac:dyDescent="0.2"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1:30" x14ac:dyDescent="0.2"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1:30" x14ac:dyDescent="0.2"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1:30" x14ac:dyDescent="0.2"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1:30" x14ac:dyDescent="0.2"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1:30" x14ac:dyDescent="0.2"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1:30" x14ac:dyDescent="0.2"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1:30" x14ac:dyDescent="0.2"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1:30" x14ac:dyDescent="0.2"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1:30" x14ac:dyDescent="0.2"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1:30" x14ac:dyDescent="0.2"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1:30" x14ac:dyDescent="0.2"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1:30" x14ac:dyDescent="0.2"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1:30" x14ac:dyDescent="0.2"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1:30" x14ac:dyDescent="0.2"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1:30" x14ac:dyDescent="0.2"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1:30" x14ac:dyDescent="0.2"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1:30" x14ac:dyDescent="0.2"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1:30" x14ac:dyDescent="0.2"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1:30" x14ac:dyDescent="0.2"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1:30" x14ac:dyDescent="0.2"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1:30" x14ac:dyDescent="0.2"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1:30" x14ac:dyDescent="0.2"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1:30" x14ac:dyDescent="0.2"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1:30" x14ac:dyDescent="0.2"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1:30" x14ac:dyDescent="0.2"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1:30" x14ac:dyDescent="0.2"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1:30" x14ac:dyDescent="0.2"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1:30" x14ac:dyDescent="0.2"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1:30" x14ac:dyDescent="0.2"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1:30" x14ac:dyDescent="0.2"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1:30" x14ac:dyDescent="0.2"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1:30" x14ac:dyDescent="0.2"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1:30" x14ac:dyDescent="0.2"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1:30" x14ac:dyDescent="0.2"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1:30" x14ac:dyDescent="0.2"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1:30" x14ac:dyDescent="0.2"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1:30" x14ac:dyDescent="0.2"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1:30" x14ac:dyDescent="0.2"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1:30" x14ac:dyDescent="0.2"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1:30" x14ac:dyDescent="0.2"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1:30" x14ac:dyDescent="0.2"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1:30" x14ac:dyDescent="0.2"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1:30" x14ac:dyDescent="0.2"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1:30" x14ac:dyDescent="0.2"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1:30" x14ac:dyDescent="0.2"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1:30" x14ac:dyDescent="0.2"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1:30" x14ac:dyDescent="0.2"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1:30" x14ac:dyDescent="0.2"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1:30" x14ac:dyDescent="0.2"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1:30" x14ac:dyDescent="0.2"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1:30" x14ac:dyDescent="0.2"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1:30" x14ac:dyDescent="0.2"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1:30" x14ac:dyDescent="0.2"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1:30" x14ac:dyDescent="0.2"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1:30" x14ac:dyDescent="0.2"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1:30" x14ac:dyDescent="0.2"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1:30" x14ac:dyDescent="0.2"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1:30" x14ac:dyDescent="0.2"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1:30" x14ac:dyDescent="0.2"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1:30" x14ac:dyDescent="0.2"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1:30" x14ac:dyDescent="0.2"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1:30" x14ac:dyDescent="0.2"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1:30" x14ac:dyDescent="0.2"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1:30" x14ac:dyDescent="0.2"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1:30" x14ac:dyDescent="0.2"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1:30" x14ac:dyDescent="0.2"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1:30" x14ac:dyDescent="0.2"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1:30" x14ac:dyDescent="0.2"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1:30" x14ac:dyDescent="0.2"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1:30" x14ac:dyDescent="0.2"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1:30" x14ac:dyDescent="0.2"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1:30" x14ac:dyDescent="0.2"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1:30" x14ac:dyDescent="0.2"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1:30" x14ac:dyDescent="0.2"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1:30" x14ac:dyDescent="0.2"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1:30" x14ac:dyDescent="0.2"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1:30" x14ac:dyDescent="0.2"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1:30" x14ac:dyDescent="0.2"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1:30" x14ac:dyDescent="0.2"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1:30" x14ac:dyDescent="0.2"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1:30" x14ac:dyDescent="0.2"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1:30" x14ac:dyDescent="0.2"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1:30" x14ac:dyDescent="0.2"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1:30" x14ac:dyDescent="0.2"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1:30" x14ac:dyDescent="0.2"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1:30" x14ac:dyDescent="0.2"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1:30" x14ac:dyDescent="0.2"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1:30" x14ac:dyDescent="0.2"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1:30" x14ac:dyDescent="0.2"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1:30" x14ac:dyDescent="0.2"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1:30" x14ac:dyDescent="0.2"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1:30" x14ac:dyDescent="0.2"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1:30" x14ac:dyDescent="0.2"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1:30" x14ac:dyDescent="0.2"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1:30" x14ac:dyDescent="0.2"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1:30" x14ac:dyDescent="0.2"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1:30" x14ac:dyDescent="0.2"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1:30" x14ac:dyDescent="0.2"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1:30" x14ac:dyDescent="0.2"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1:30" x14ac:dyDescent="0.2"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1:30" x14ac:dyDescent="0.2"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1:30" x14ac:dyDescent="0.2"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1:30" x14ac:dyDescent="0.2"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1:30" x14ac:dyDescent="0.2"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1:30" x14ac:dyDescent="0.2"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1:30" x14ac:dyDescent="0.2"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1:30" x14ac:dyDescent="0.2"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1:30" x14ac:dyDescent="0.2"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1:30" x14ac:dyDescent="0.2"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1:30" x14ac:dyDescent="0.2"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1:30" x14ac:dyDescent="0.2"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1:30" x14ac:dyDescent="0.2"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1:30" x14ac:dyDescent="0.2"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</sheetData>
  <sheetProtection algorithmName="SHA-512" hashValue="BrPxPZ98MWa7AnYKHCectc1Sq2AzgaMlHBbnOwthleEC2YsinSmrhfLhkD6Zf27oksMzTtx0YF9BwRcHc1eMbA==" saltValue="EDuapasTC3T3dqpFy9amAA==" spinCount="100000" sheet="1" selectLockedCells="1"/>
  <mergeCells count="5">
    <mergeCell ref="B3:I3"/>
    <mergeCell ref="B5:I5"/>
    <mergeCell ref="E44:F44"/>
    <mergeCell ref="E45:F45"/>
    <mergeCell ref="B1:I1"/>
  </mergeCells>
  <phoneticPr fontId="0" type="noConversion"/>
  <pageMargins left="0.75" right="0.75" top="1" bottom="1" header="0.5" footer="0.5"/>
  <pageSetup paperSize="9" scale="61" orientation="landscape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6</xdr:col>
                    <xdr:colOff>0</xdr:colOff>
                    <xdr:row>17</xdr:row>
                    <xdr:rowOff>9525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6</xdr:col>
                    <xdr:colOff>0</xdr:colOff>
                    <xdr:row>23</xdr:row>
                    <xdr:rowOff>9525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Spinner 3">
              <controlPr defaultSize="0" autoPict="0">
                <anchor moveWithCells="1" sizeWithCells="1">
                  <from>
                    <xdr:col>6</xdr:col>
                    <xdr:colOff>0</xdr:colOff>
                    <xdr:row>27</xdr:row>
                    <xdr:rowOff>9525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Spinner 4">
              <controlPr defaultSize="0" autoPict="0">
                <anchor moveWithCells="1" siz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Spinner 5">
              <controlPr defaultSize="0" autoPict="0">
                <anchor moveWithCells="1" sizeWithCells="1">
                  <from>
                    <xdr:col>6</xdr:col>
                    <xdr:colOff>0</xdr:colOff>
                    <xdr:row>35</xdr:row>
                    <xdr:rowOff>9525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Spinner 6">
              <controlPr defaultSize="0" autoPict="0">
                <anchor moveWithCells="1" sizeWithCells="1">
                  <from>
                    <xdr:col>6</xdr:col>
                    <xdr:colOff>0</xdr:colOff>
                    <xdr:row>39</xdr:row>
                    <xdr:rowOff>9525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Spinner 7">
              <controlPr defaultSize="0" autoPict="0">
                <anchor moveWithCells="1" sizeWithCells="1">
                  <from>
                    <xdr:col>6</xdr:col>
                    <xdr:colOff>0</xdr:colOff>
                    <xdr:row>17</xdr:row>
                    <xdr:rowOff>38100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Spinner 8">
              <controlPr defaultSize="0" autoPict="0">
                <anchor moveWithCells="1" sizeWithCells="1">
                  <from>
                    <xdr:col>6</xdr:col>
                    <xdr:colOff>0</xdr:colOff>
                    <xdr:row>23</xdr:row>
                    <xdr:rowOff>38100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Spinner 9">
              <controlPr defaultSize="0" autoPict="0">
                <anchor moveWithCells="1" sizeWithCells="1">
                  <from>
                    <xdr:col>6</xdr:col>
                    <xdr:colOff>0</xdr:colOff>
                    <xdr:row>27</xdr:row>
                    <xdr:rowOff>38100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Spinner 10">
              <controlPr defaultSize="0" autoPict="0">
                <anchor moveWithCells="1" sizeWithCells="1">
                  <from>
                    <xdr:col>6</xdr:col>
                    <xdr:colOff>0</xdr:colOff>
                    <xdr:row>31</xdr:row>
                    <xdr:rowOff>38100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Spinner 11">
              <controlPr defaultSize="0" autoPict="0">
                <anchor moveWithCells="1" sizeWithCells="1">
                  <from>
                    <xdr:col>6</xdr:col>
                    <xdr:colOff>0</xdr:colOff>
                    <xdr:row>35</xdr:row>
                    <xdr:rowOff>38100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Spinner 12">
              <controlPr defaultSize="0" autoPict="0">
                <anchor moveWithCells="1" sizeWithCells="1">
                  <from>
                    <xdr:col>6</xdr:col>
                    <xdr:colOff>0</xdr:colOff>
                    <xdr:row>39</xdr:row>
                    <xdr:rowOff>38100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6" name="Spinner 153">
              <controlPr defaultSize="0" autoPict="0">
                <anchor moveWithCells="1" siz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7" name="Spinner 154">
              <controlPr defaultSize="0" autoPict="0">
                <anchor moveWithCells="1" sizeWithCells="1">
                  <from>
                    <xdr:col>6</xdr:col>
                    <xdr:colOff>0</xdr:colOff>
                    <xdr:row>41</xdr:row>
                    <xdr:rowOff>38100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8" name="Spinner 155">
              <controlPr defaultSize="0" autoPict="0">
                <anchor moveWithCells="1" siz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9" name="Spinner 156">
              <controlPr defaultSize="0" autoPict="0">
                <anchor moveWithCells="1" sizeWithCells="1">
                  <from>
                    <xdr:col>6</xdr:col>
                    <xdr:colOff>0</xdr:colOff>
                    <xdr:row>19</xdr:row>
                    <xdr:rowOff>38100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0" name="Spinner 163">
              <controlPr defaultSize="0" autoPict="0">
                <anchor moveWithCells="1" sizeWithCells="1">
                  <from>
                    <xdr:col>6</xdr:col>
                    <xdr:colOff>0</xdr:colOff>
                    <xdr:row>21</xdr:row>
                    <xdr:rowOff>9525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21" name="Spinner 164">
              <controlPr defaultSize="0" autoPict="0">
                <anchor moveWithCells="1" sizeWithCells="1">
                  <from>
                    <xdr:col>6</xdr:col>
                    <xdr:colOff>0</xdr:colOff>
                    <xdr:row>21</xdr:row>
                    <xdr:rowOff>38100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22" name="Spinner 165">
              <controlPr defaultSize="0" autoPict="0">
                <anchor moveWithCells="1" siz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23" name="Spinner 166">
              <controlPr defaultSize="0" autoPict="0">
                <anchor moveWithCells="1" sizeWithCells="1">
                  <from>
                    <xdr:col>6</xdr:col>
                    <xdr:colOff>0</xdr:colOff>
                    <xdr:row>25</xdr:row>
                    <xdr:rowOff>38100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24" name="Spinner 167">
              <controlPr defaultSize="0" autoPict="0">
                <anchor moveWithCells="1" siz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25" name="Spinner 168">
              <controlPr defaultSize="0" autoPict="0">
                <anchor moveWithCells="1" sizeWithCells="1">
                  <from>
                    <xdr:col>6</xdr:col>
                    <xdr:colOff>0</xdr:colOff>
                    <xdr:row>25</xdr:row>
                    <xdr:rowOff>38100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26" name="Spinner 169">
              <controlPr defaultSize="0" autoPict="0">
                <anchor moveWithCells="1" siz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27" name="Spinner 170">
              <controlPr defaultSize="0" autoPict="0">
                <anchor moveWithCells="1" sizeWithCells="1">
                  <from>
                    <xdr:col>6</xdr:col>
                    <xdr:colOff>0</xdr:colOff>
                    <xdr:row>29</xdr:row>
                    <xdr:rowOff>38100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28" name="Spinner 171">
              <controlPr defaultSize="0" autoPict="0">
                <anchor moveWithCells="1" sizeWithCells="1">
                  <from>
                    <xdr:col>6</xdr:col>
                    <xdr:colOff>0</xdr:colOff>
                    <xdr:row>33</xdr:row>
                    <xdr:rowOff>9525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29" name="Spinner 172">
              <controlPr defaultSize="0" autoPict="0">
                <anchor moveWithCells="1" sizeWithCells="1">
                  <from>
                    <xdr:col>6</xdr:col>
                    <xdr:colOff>0</xdr:colOff>
                    <xdr:row>33</xdr:row>
                    <xdr:rowOff>38100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30" name="Spinner 173">
              <controlPr defaultSize="0" autoPict="0">
                <anchor moveWithCells="1" siz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31" name="Spinner 174">
              <controlPr defaultSize="0" autoPict="0">
                <anchor moveWithCells="1" sizeWithCells="1">
                  <from>
                    <xdr:col>6</xdr:col>
                    <xdr:colOff>0</xdr:colOff>
                    <xdr:row>37</xdr:row>
                    <xdr:rowOff>38100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E361"/>
  <sheetViews>
    <sheetView showGridLines="0" topLeftCell="A5" zoomScale="85" zoomScaleNormal="85" workbookViewId="0">
      <selection activeCell="F45" sqref="F45"/>
    </sheetView>
  </sheetViews>
  <sheetFormatPr defaultRowHeight="12.75" x14ac:dyDescent="0.2"/>
  <cols>
    <col min="1" max="1" width="3.42578125" customWidth="1"/>
    <col min="2" max="2" width="2" customWidth="1"/>
    <col min="3" max="3" width="23.28515625" bestFit="1" customWidth="1"/>
    <col min="4" max="4" width="37" bestFit="1" customWidth="1"/>
    <col min="5" max="5" width="32.42578125" bestFit="1" customWidth="1"/>
    <col min="6" max="6" width="29.42578125" bestFit="1" customWidth="1"/>
    <col min="7" max="7" width="8.28515625" customWidth="1"/>
    <col min="8" max="8" width="2.85546875" customWidth="1"/>
  </cols>
  <sheetData>
    <row r="1" spans="1:31" s="2" customFormat="1" ht="19.5" customHeight="1" x14ac:dyDescent="0.2"/>
    <row r="2" spans="1:31" ht="15.75" hidden="1" customHeight="1" x14ac:dyDescent="0.2">
      <c r="A2" s="2"/>
      <c r="B2" s="2"/>
      <c r="C2" s="41"/>
      <c r="D2" s="41"/>
      <c r="E2" s="41"/>
      <c r="F2" s="41"/>
      <c r="G2" s="4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6.25" x14ac:dyDescent="0.4">
      <c r="A3" s="2"/>
      <c r="B3" s="2"/>
      <c r="C3" s="179" t="s">
        <v>9</v>
      </c>
      <c r="D3" s="179"/>
      <c r="E3" s="179"/>
      <c r="F3" s="179"/>
      <c r="G3" s="17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25" x14ac:dyDescent="0.3">
      <c r="A4" s="2"/>
      <c r="B4" s="2"/>
      <c r="C4" s="185" t="s">
        <v>11</v>
      </c>
      <c r="D4" s="185"/>
      <c r="E4" s="185"/>
      <c r="F4" s="185"/>
      <c r="G4" s="18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2"/>
      <c r="B5" s="2"/>
      <c r="C5" s="41"/>
      <c r="D5" s="41"/>
      <c r="E5" s="41"/>
      <c r="F5" s="41"/>
      <c r="G5" s="4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">
      <c r="A6" s="2"/>
      <c r="B6" s="2"/>
      <c r="C6" s="41"/>
      <c r="D6" s="41"/>
      <c r="E6" s="41"/>
      <c r="F6" s="41"/>
      <c r="G6" s="4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5.75" x14ac:dyDescent="0.25">
      <c r="A7" s="2"/>
      <c r="B7" s="2"/>
      <c r="C7" s="183" t="s">
        <v>10</v>
      </c>
      <c r="D7" s="183"/>
      <c r="E7" s="183"/>
      <c r="F7" s="183"/>
      <c r="G7" s="18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2"/>
      <c r="B8" s="2"/>
      <c r="C8" s="41"/>
      <c r="D8" s="41"/>
      <c r="E8" s="41"/>
      <c r="F8" s="41"/>
      <c r="G8" s="4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.75" x14ac:dyDescent="0.25">
      <c r="A9" s="2"/>
      <c r="B9" s="2"/>
      <c r="C9" s="41"/>
      <c r="D9" s="55" t="s">
        <v>8</v>
      </c>
      <c r="E9" s="52" t="s">
        <v>7</v>
      </c>
      <c r="F9" s="41"/>
      <c r="G9" s="4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.75" x14ac:dyDescent="0.25">
      <c r="A10" s="2"/>
      <c r="B10" s="2"/>
      <c r="C10" s="2"/>
      <c r="D10" s="78" t="str">
        <f>'Revenue Split'!H48</f>
        <v>n/a</v>
      </c>
      <c r="E10" s="79" t="str">
        <f>'Revenue Split'!H49</f>
        <v>n/a</v>
      </c>
      <c r="F10" s="93">
        <v>0.5</v>
      </c>
      <c r="G10" s="93">
        <f>1-F10</f>
        <v>0.5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thickBo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5" customHeight="1" x14ac:dyDescent="0.2">
      <c r="A13" s="2"/>
      <c r="B13" s="30"/>
      <c r="C13" s="31"/>
      <c r="D13" s="31"/>
      <c r="E13" s="31"/>
      <c r="F13" s="31"/>
      <c r="G13" s="3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" customHeight="1" x14ac:dyDescent="0.25">
      <c r="A14" s="2"/>
      <c r="B14" s="33"/>
      <c r="C14" s="34" t="s">
        <v>2</v>
      </c>
      <c r="D14" s="35" t="s">
        <v>3</v>
      </c>
      <c r="E14" s="36" t="s">
        <v>4</v>
      </c>
      <c r="F14" s="36" t="s">
        <v>5</v>
      </c>
      <c r="G14" s="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" customHeight="1" x14ac:dyDescent="0.25">
      <c r="A15" s="2"/>
      <c r="B15" s="33"/>
      <c r="C15" s="34"/>
      <c r="D15" s="34"/>
      <c r="E15" s="34"/>
      <c r="F15" s="34" t="s">
        <v>6</v>
      </c>
      <c r="G15" s="3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5" customHeight="1" x14ac:dyDescent="0.25">
      <c r="A16" s="2"/>
      <c r="B16" s="33"/>
      <c r="C16" s="38"/>
      <c r="D16" s="38"/>
      <c r="E16" s="2"/>
      <c r="F16" s="2"/>
      <c r="G16" s="3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" customHeight="1" x14ac:dyDescent="0.25">
      <c r="A17" s="2"/>
      <c r="B17" s="33"/>
      <c r="C17" s="38" t="s">
        <v>28</v>
      </c>
      <c r="D17" s="102">
        <v>3.7364019933937273E-2</v>
      </c>
      <c r="E17" s="102">
        <v>2.8000000000000001E-2</v>
      </c>
      <c r="F17" s="103">
        <f t="shared" ref="F17:F32" si="0">IF(D17&gt;E17,(D17-(MAX($D$10,DefaultCapitationContribution)*E17))/MIN($E$10,DefaultCopaymentContribution),IF(ISNUMBER($D$10),(D17-$D$10*E17)/$E$10,(D17-DefaultCapitationContribution*E17)/DefaultCopaymentContribution))</f>
        <v>4.6728039867874549E-2</v>
      </c>
      <c r="G17" s="37"/>
      <c r="H17" s="2"/>
      <c r="I17" s="2"/>
      <c r="J17" s="2"/>
      <c r="K17" s="2"/>
      <c r="L17" s="2"/>
      <c r="M17" s="118"/>
      <c r="N17" s="11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5" customHeight="1" x14ac:dyDescent="0.25">
      <c r="A18" s="2"/>
      <c r="B18" s="33"/>
      <c r="C18" s="38" t="s">
        <v>30</v>
      </c>
      <c r="D18" s="102">
        <v>4.8000000000000001E-2</v>
      </c>
      <c r="E18" s="102">
        <v>3.116E-2</v>
      </c>
      <c r="F18" s="103">
        <f t="shared" si="0"/>
        <v>6.4840000000000009E-2</v>
      </c>
      <c r="G18" s="37"/>
      <c r="H18" s="2"/>
      <c r="I18" s="2"/>
      <c r="J18" s="2"/>
      <c r="K18" s="2"/>
      <c r="L18" s="2"/>
      <c r="M18" s="118"/>
      <c r="N18" s="11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" customHeight="1" x14ac:dyDescent="0.25">
      <c r="A19" s="2"/>
      <c r="B19" s="33"/>
      <c r="C19" s="38" t="s">
        <v>31</v>
      </c>
      <c r="D19" s="102">
        <v>3.0099999999999998E-2</v>
      </c>
      <c r="E19" s="102">
        <v>0.02</v>
      </c>
      <c r="F19" s="103">
        <f t="shared" si="0"/>
        <v>4.02E-2</v>
      </c>
      <c r="G19" s="37"/>
      <c r="H19" s="2"/>
      <c r="I19" s="2"/>
      <c r="J19" s="2"/>
      <c r="K19" s="2"/>
      <c r="L19" s="2"/>
      <c r="M19" s="118"/>
      <c r="N19" s="11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" customHeight="1" x14ac:dyDescent="0.25">
      <c r="A20" s="2"/>
      <c r="B20" s="33"/>
      <c r="C20" s="38" t="s">
        <v>32</v>
      </c>
      <c r="D20" s="102">
        <v>1.0945E-2</v>
      </c>
      <c r="E20" s="102">
        <v>0.02</v>
      </c>
      <c r="F20" s="103">
        <f t="shared" si="0"/>
        <v>1.8899999999999993E-3</v>
      </c>
      <c r="G20" s="37"/>
      <c r="H20" s="2"/>
      <c r="I20" s="2"/>
      <c r="J20" s="2"/>
      <c r="K20" s="2"/>
      <c r="L20" s="2"/>
      <c r="M20" s="118"/>
      <c r="N20" s="11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" customHeight="1" x14ac:dyDescent="0.25">
      <c r="A21" s="2"/>
      <c r="B21" s="33"/>
      <c r="C21" s="38" t="s">
        <v>48</v>
      </c>
      <c r="D21" s="102">
        <v>1.414E-2</v>
      </c>
      <c r="E21" s="102">
        <v>1.49E-2</v>
      </c>
      <c r="F21" s="103">
        <f t="shared" si="0"/>
        <v>1.338E-2</v>
      </c>
      <c r="G21" s="37"/>
      <c r="H21" s="2"/>
      <c r="I21" s="2"/>
      <c r="J21" s="2"/>
      <c r="K21" s="2"/>
      <c r="L21" s="2"/>
      <c r="M21" s="118"/>
      <c r="N21" s="118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" customHeight="1" x14ac:dyDescent="0.25">
      <c r="A22" s="2"/>
      <c r="B22" s="33"/>
      <c r="C22" s="38" t="s">
        <v>49</v>
      </c>
      <c r="D22" s="102">
        <v>1.504E-2</v>
      </c>
      <c r="E22" s="102">
        <v>0.01</v>
      </c>
      <c r="F22" s="103">
        <f t="shared" si="0"/>
        <v>2.0080000000000001E-2</v>
      </c>
      <c r="G22" s="37"/>
      <c r="H22" s="2"/>
      <c r="I22" s="2"/>
      <c r="J22" s="2"/>
      <c r="K22" s="2"/>
      <c r="L22" s="2"/>
      <c r="M22" s="118"/>
      <c r="N22" s="118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2" customFormat="1" ht="15" customHeight="1" x14ac:dyDescent="0.25">
      <c r="B23" s="33"/>
      <c r="C23" s="38" t="s">
        <v>50</v>
      </c>
      <c r="D23" s="102">
        <v>1.1849999999999999E-2</v>
      </c>
      <c r="E23" s="102">
        <v>0.01</v>
      </c>
      <c r="F23" s="103">
        <f t="shared" si="0"/>
        <v>1.3699999999999999E-2</v>
      </c>
      <c r="G23" s="37"/>
      <c r="M23" s="118"/>
      <c r="N23" s="118"/>
    </row>
    <row r="24" spans="1:31" s="2" customFormat="1" ht="15" customHeight="1" x14ac:dyDescent="0.25">
      <c r="B24" s="33"/>
      <c r="C24" s="38" t="s">
        <v>51</v>
      </c>
      <c r="D24" s="102">
        <v>1.1037E-2</v>
      </c>
      <c r="E24" s="102">
        <v>8.0000000000000002E-3</v>
      </c>
      <c r="F24" s="103">
        <f t="shared" si="0"/>
        <v>1.4074E-2</v>
      </c>
      <c r="G24" s="37"/>
      <c r="M24" s="118"/>
      <c r="N24" s="118"/>
    </row>
    <row r="25" spans="1:31" s="2" customFormat="1" ht="15" customHeight="1" x14ac:dyDescent="0.25">
      <c r="B25" s="33"/>
      <c r="C25" s="38" t="s">
        <v>52</v>
      </c>
      <c r="D25" s="102">
        <v>1.1246702000000001E-2</v>
      </c>
      <c r="E25" s="102">
        <v>0.01</v>
      </c>
      <c r="F25" s="103">
        <f t="shared" si="0"/>
        <v>1.2493404000000001E-2</v>
      </c>
      <c r="G25" s="37"/>
      <c r="M25" s="118"/>
      <c r="N25" s="118"/>
    </row>
    <row r="26" spans="1:31" s="2" customFormat="1" ht="15" customHeight="1" x14ac:dyDescent="0.25">
      <c r="B26" s="33"/>
      <c r="C26" s="38" t="s">
        <v>53</v>
      </c>
      <c r="D26" s="102">
        <v>1.5699999999999999E-2</v>
      </c>
      <c r="E26" s="102">
        <v>1.8200000000000001E-2</v>
      </c>
      <c r="F26" s="103">
        <f t="shared" si="0"/>
        <v>1.3199999999999996E-2</v>
      </c>
      <c r="G26" s="37"/>
      <c r="M26" s="118"/>
      <c r="N26" s="118"/>
    </row>
    <row r="27" spans="1:31" s="2" customFormat="1" ht="15" customHeight="1" x14ac:dyDescent="0.25">
      <c r="B27" s="33"/>
      <c r="C27" s="38" t="s">
        <v>54</v>
      </c>
      <c r="D27" s="102">
        <v>2.3800000000000002E-2</v>
      </c>
      <c r="E27" s="102">
        <v>2.3800000000000002E-2</v>
      </c>
      <c r="F27" s="103">
        <f t="shared" si="0"/>
        <v>2.3800000000000002E-2</v>
      </c>
      <c r="G27" s="37"/>
      <c r="M27" s="118"/>
      <c r="N27" s="118"/>
    </row>
    <row r="28" spans="1:31" s="2" customFormat="1" ht="15" customHeight="1" x14ac:dyDescent="0.25">
      <c r="B28" s="33"/>
      <c r="C28" s="38" t="s">
        <v>85</v>
      </c>
      <c r="D28" s="102">
        <v>2.9100000000000001E-2</v>
      </c>
      <c r="E28" s="102">
        <v>2.9100000000000001E-2</v>
      </c>
      <c r="F28" s="103">
        <f t="shared" si="0"/>
        <v>2.9100000000000001E-2</v>
      </c>
      <c r="G28" s="37"/>
      <c r="M28" s="118"/>
      <c r="N28" s="118"/>
    </row>
    <row r="29" spans="1:31" s="2" customFormat="1" ht="15" customHeight="1" x14ac:dyDescent="0.25">
      <c r="B29" s="33"/>
      <c r="C29" s="38" t="s">
        <v>86</v>
      </c>
      <c r="D29" s="102">
        <v>3.5099999999999999E-2</v>
      </c>
      <c r="E29" s="102">
        <v>3.5099999999999999E-2</v>
      </c>
      <c r="F29" s="103">
        <f t="shared" si="0"/>
        <v>3.5099999999999999E-2</v>
      </c>
      <c r="G29" s="37"/>
      <c r="M29" s="118"/>
      <c r="N29" s="118"/>
    </row>
    <row r="30" spans="1:31" s="2" customFormat="1" ht="15" customHeight="1" x14ac:dyDescent="0.25">
      <c r="B30" s="33"/>
      <c r="C30" s="38" t="s">
        <v>90</v>
      </c>
      <c r="D30" s="102">
        <v>2.7799999999999998E-2</v>
      </c>
      <c r="E30" s="102">
        <v>2.7799999999999998E-2</v>
      </c>
      <c r="F30" s="103">
        <f t="shared" si="0"/>
        <v>2.7799999999999998E-2</v>
      </c>
      <c r="G30" s="37"/>
      <c r="M30" s="118"/>
      <c r="N30" s="118"/>
    </row>
    <row r="31" spans="1:31" s="2" customFormat="1" ht="15" customHeight="1" x14ac:dyDescent="0.25">
      <c r="B31" s="33"/>
      <c r="C31" s="38" t="s">
        <v>91</v>
      </c>
      <c r="D31" s="102">
        <v>2.3800000000000002E-2</v>
      </c>
      <c r="E31" s="102">
        <v>2.3800000000000002E-2</v>
      </c>
      <c r="F31" s="103">
        <f t="shared" si="0"/>
        <v>2.3800000000000002E-2</v>
      </c>
      <c r="G31" s="37"/>
      <c r="M31" s="118"/>
      <c r="N31" s="118"/>
    </row>
    <row r="32" spans="1:31" s="2" customFormat="1" ht="15" customHeight="1" x14ac:dyDescent="0.25">
      <c r="B32" s="33"/>
      <c r="C32" s="38" t="s">
        <v>92</v>
      </c>
      <c r="D32" s="102">
        <v>4.9200000000000001E-2</v>
      </c>
      <c r="E32" s="102">
        <v>4.9200000000000001E-2</v>
      </c>
      <c r="F32" s="103">
        <f t="shared" si="0"/>
        <v>4.9200000000000001E-2</v>
      </c>
      <c r="G32" s="37"/>
      <c r="M32" s="118"/>
      <c r="N32" s="118"/>
    </row>
    <row r="33" spans="1:31" s="2" customFormat="1" ht="15" customHeight="1" thickBot="1" x14ac:dyDescent="0.3">
      <c r="B33" s="39"/>
      <c r="C33" s="173" t="s">
        <v>94</v>
      </c>
      <c r="D33" s="174">
        <v>5.8799999999999998E-2</v>
      </c>
      <c r="E33" s="174">
        <v>0.04</v>
      </c>
      <c r="F33" s="175">
        <f t="shared" ref="F33" si="1">IF(D33&gt;E33,(D33-(MAX($D$10,DefaultCapitationContribution)*E33))/MIN($E$10,DefaultCopaymentContribution),IF(ISNUMBER($D$10),(D33-$D$10*E33)/$E$10,(D33-DefaultCapitationContribution*E33)/DefaultCopaymentContribution))</f>
        <v>7.7600000000000002E-2</v>
      </c>
      <c r="G33" s="40"/>
    </row>
    <row r="34" spans="1:31" s="2" customFormat="1" ht="15" customHeight="1" x14ac:dyDescent="0.2">
      <c r="C34" s="41"/>
      <c r="D34" s="41"/>
      <c r="E34" s="41"/>
      <c r="F34" s="41"/>
      <c r="G34" s="41"/>
    </row>
    <row r="35" spans="1:31" ht="30.75" customHeight="1" x14ac:dyDescent="0.25">
      <c r="A35" s="2"/>
      <c r="B35" s="2"/>
      <c r="C35" s="184" t="s">
        <v>12</v>
      </c>
      <c r="D35" s="184"/>
      <c r="E35" s="184"/>
      <c r="F35" s="184"/>
      <c r="G35" s="18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" customHeight="1" x14ac:dyDescent="0.2">
      <c r="A36" s="2"/>
      <c r="B36" s="2"/>
      <c r="C36" s="41"/>
      <c r="D36" s="41"/>
      <c r="E36" s="41"/>
      <c r="F36" s="41"/>
      <c r="G36" s="4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" customHeight="1" x14ac:dyDescent="0.25">
      <c r="A37" s="2"/>
      <c r="B37" s="2"/>
      <c r="C37" s="2"/>
      <c r="D37" s="53" t="s">
        <v>2</v>
      </c>
      <c r="E37" s="52" t="s">
        <v>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" customHeight="1" x14ac:dyDescent="0.25">
      <c r="A38" s="2"/>
      <c r="B38" s="2"/>
      <c r="C38" s="2"/>
      <c r="D38" s="54"/>
      <c r="E38" s="8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" customHeight="1" x14ac:dyDescent="0.25">
      <c r="A39" s="2"/>
      <c r="B39" s="2"/>
      <c r="C39" s="2"/>
      <c r="D39" s="54" t="s">
        <v>28</v>
      </c>
      <c r="E39" s="104">
        <f t="shared" ref="E39:E49" si="2">F17</f>
        <v>4.6728039867874549E-2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" customHeight="1" x14ac:dyDescent="0.25">
      <c r="A40" s="2"/>
      <c r="B40" s="2"/>
      <c r="C40" s="2"/>
      <c r="D40" s="54" t="s">
        <v>30</v>
      </c>
      <c r="E40" s="104">
        <f t="shared" si="2"/>
        <v>6.4840000000000009E-2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" customHeight="1" x14ac:dyDescent="0.25">
      <c r="A41" s="2"/>
      <c r="B41" s="2"/>
      <c r="C41" s="2"/>
      <c r="D41" s="54" t="s">
        <v>31</v>
      </c>
      <c r="E41" s="104">
        <f t="shared" si="2"/>
        <v>4.02E-2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" customHeight="1" x14ac:dyDescent="0.25">
      <c r="A42" s="2"/>
      <c r="B42" s="2"/>
      <c r="C42" s="2"/>
      <c r="D42" s="54" t="s">
        <v>32</v>
      </c>
      <c r="E42" s="104">
        <f t="shared" si="2"/>
        <v>1.8899999999999993E-3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" customHeight="1" x14ac:dyDescent="0.25">
      <c r="A43" s="2"/>
      <c r="B43" s="2"/>
      <c r="C43" s="2"/>
      <c r="D43" s="54" t="s">
        <v>48</v>
      </c>
      <c r="E43" s="104">
        <f t="shared" si="2"/>
        <v>1.338E-2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" customHeight="1" x14ac:dyDescent="0.25">
      <c r="A44" s="2"/>
      <c r="B44" s="2"/>
      <c r="C44" s="2"/>
      <c r="D44" s="54" t="s">
        <v>49</v>
      </c>
      <c r="E44" s="104">
        <f t="shared" si="2"/>
        <v>2.0080000000000001E-2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" customHeight="1" x14ac:dyDescent="0.25">
      <c r="A45" s="2"/>
      <c r="B45" s="2"/>
      <c r="C45" s="2"/>
      <c r="D45" s="54" t="s">
        <v>50</v>
      </c>
      <c r="E45" s="104">
        <f t="shared" si="2"/>
        <v>1.3699999999999999E-2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" customHeight="1" x14ac:dyDescent="0.25">
      <c r="A46" s="2"/>
      <c r="B46" s="2"/>
      <c r="C46" s="2"/>
      <c r="D46" s="54" t="s">
        <v>51</v>
      </c>
      <c r="E46" s="104">
        <f t="shared" si="2"/>
        <v>1.4074E-2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25">
      <c r="A47" s="2"/>
      <c r="B47" s="2"/>
      <c r="C47" s="2"/>
      <c r="D47" s="54" t="s">
        <v>52</v>
      </c>
      <c r="E47" s="104">
        <f t="shared" si="2"/>
        <v>1.2493404000000001E-2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" customHeight="1" x14ac:dyDescent="0.25">
      <c r="A48" s="2"/>
      <c r="B48" s="2"/>
      <c r="C48" s="2"/>
      <c r="D48" s="54" t="s">
        <v>53</v>
      </c>
      <c r="E48" s="104">
        <f t="shared" si="2"/>
        <v>1.3199999999999996E-2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25">
      <c r="A49" s="2"/>
      <c r="B49" s="2"/>
      <c r="C49" s="2"/>
      <c r="D49" s="54" t="s">
        <v>54</v>
      </c>
      <c r="E49" s="104">
        <f t="shared" si="2"/>
        <v>2.3800000000000002E-2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" customHeight="1" x14ac:dyDescent="0.25">
      <c r="A50" s="2"/>
      <c r="B50" s="2"/>
      <c r="C50" s="2"/>
      <c r="D50" s="54" t="s">
        <v>85</v>
      </c>
      <c r="E50" s="104">
        <f t="shared" ref="E50:E55" si="3">F28</f>
        <v>2.9100000000000001E-2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25">
      <c r="A51" s="2"/>
      <c r="B51" s="2"/>
      <c r="C51" s="2"/>
      <c r="D51" s="54" t="s">
        <v>86</v>
      </c>
      <c r="E51" s="104">
        <f t="shared" si="3"/>
        <v>3.5099999999999999E-2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" customHeight="1" x14ac:dyDescent="0.25">
      <c r="A52" s="2"/>
      <c r="B52" s="2"/>
      <c r="C52" s="2"/>
      <c r="D52" s="54" t="s">
        <v>90</v>
      </c>
      <c r="E52" s="104">
        <f t="shared" si="3"/>
        <v>2.7799999999999998E-2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" customHeight="1" x14ac:dyDescent="0.25">
      <c r="A53" s="2"/>
      <c r="B53" s="2"/>
      <c r="C53" s="2"/>
      <c r="D53" s="54" t="s">
        <v>91</v>
      </c>
      <c r="E53" s="104">
        <f t="shared" si="3"/>
        <v>2.3800000000000002E-2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" customHeight="1" x14ac:dyDescent="0.25">
      <c r="A54" s="2"/>
      <c r="B54" s="2"/>
      <c r="C54" s="2"/>
      <c r="D54" s="176" t="s">
        <v>92</v>
      </c>
      <c r="E54" s="177">
        <f t="shared" si="3"/>
        <v>4.9200000000000001E-2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" customHeight="1" x14ac:dyDescent="0.25">
      <c r="A55" s="2"/>
      <c r="B55" s="2"/>
      <c r="C55" s="2"/>
      <c r="D55" s="176" t="s">
        <v>94</v>
      </c>
      <c r="E55" s="177">
        <f t="shared" si="3"/>
        <v>7.7600000000000002E-2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" customHeight="1" x14ac:dyDescent="0.25">
      <c r="A57" s="2"/>
      <c r="B57" s="2"/>
      <c r="C57" s="84" t="s">
        <v>35</v>
      </c>
      <c r="D57" s="82" t="s">
        <v>33</v>
      </c>
      <c r="E57" s="83" t="s">
        <v>34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" customHeight="1" x14ac:dyDescent="0.25">
      <c r="A58" s="2"/>
      <c r="B58" s="2"/>
      <c r="C58" s="2"/>
      <c r="D58" s="85" t="s">
        <v>94</v>
      </c>
      <c r="E58" s="86">
        <f>VLOOKUP(D58,D39:E55,2,FALSE)</f>
        <v>7.7600000000000002E-2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A67" s="42"/>
      <c r="B67" s="42"/>
      <c r="C67" s="42"/>
      <c r="D67" s="2"/>
      <c r="E67" s="2"/>
      <c r="F67" s="42"/>
      <c r="G67" s="42"/>
      <c r="H67" s="4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A68" s="2"/>
      <c r="B68" s="2"/>
      <c r="C68" s="2"/>
      <c r="D68" s="42"/>
      <c r="E68" s="4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">
      <c r="A71" s="42"/>
      <c r="B71" s="42"/>
      <c r="C71" s="42"/>
      <c r="D71" s="2"/>
      <c r="E71" s="2"/>
      <c r="F71" s="42"/>
      <c r="G71" s="42"/>
      <c r="H71" s="4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">
      <c r="A72" s="2"/>
      <c r="B72" s="2"/>
      <c r="C72" s="2"/>
      <c r="D72" s="42"/>
      <c r="E72" s="4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x14ac:dyDescent="0.2">
      <c r="D361" s="2"/>
      <c r="E361" s="2"/>
    </row>
  </sheetData>
  <sheetProtection algorithmName="SHA-512" hashValue="2I3ckLhNcF71+IdwppC5XBNVrIkei919PHg6pikUOwuGxKbTeho3DJgqvVK8E5Wvg4ObDPE89pyeSqadAysT0w==" saltValue="VRtkTUqbfeXGU/CiAS4W+A==" spinCount="100000" sheet="1" objects="1" scenarios="1"/>
  <mergeCells count="4">
    <mergeCell ref="C3:G3"/>
    <mergeCell ref="C7:G7"/>
    <mergeCell ref="C35:G35"/>
    <mergeCell ref="C4:G4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Header>&amp;C&amp;"Calibri"&amp;10&amp;K000000 UNCLASSIFIED&amp;1#_x000D_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63"/>
  <sheetViews>
    <sheetView showGridLines="0" showRowColHeaders="0" zoomScale="85" zoomScaleNormal="85" zoomScalePageLayoutView="70" workbookViewId="0">
      <selection activeCell="G39" sqref="G39"/>
    </sheetView>
  </sheetViews>
  <sheetFormatPr defaultRowHeight="12.75" x14ac:dyDescent="0.2"/>
  <cols>
    <col min="1" max="1" width="3.28515625" customWidth="1"/>
    <col min="2" max="2" width="2" customWidth="1"/>
    <col min="3" max="3" width="24.28515625" customWidth="1"/>
    <col min="4" max="4" width="16.28515625" customWidth="1"/>
    <col min="5" max="5" width="16.140625" customWidth="1"/>
    <col min="6" max="6" width="19" customWidth="1"/>
    <col min="7" max="7" width="19.42578125" customWidth="1"/>
    <col min="8" max="8" width="2" customWidth="1"/>
    <col min="9" max="9" width="14.85546875" customWidth="1"/>
    <col min="10" max="10" width="15.42578125" hidden="1" customWidth="1"/>
    <col min="11" max="11" width="4.140625" customWidth="1"/>
    <col min="12" max="12" width="12.42578125" customWidth="1"/>
    <col min="13" max="13" width="48.85546875" hidden="1" customWidth="1"/>
    <col min="14" max="14" width="4.42578125" customWidth="1"/>
    <col min="15" max="15" width="3.85546875" hidden="1" customWidth="1"/>
    <col min="16" max="16" width="4.42578125" hidden="1" customWidth="1"/>
    <col min="17" max="17" width="2.28515625" customWidth="1"/>
    <col min="18" max="18" width="0.28515625" hidden="1" customWidth="1"/>
    <col min="19" max="19" width="18.85546875" customWidth="1"/>
    <col min="20" max="20" width="16.42578125" customWidth="1"/>
    <col min="21" max="21" width="15" customWidth="1"/>
    <col min="22" max="22" width="17" customWidth="1"/>
    <col min="23" max="23" width="18.7109375" customWidth="1"/>
    <col min="24" max="24" width="17.28515625" customWidth="1"/>
    <col min="25" max="25" width="2" customWidth="1"/>
    <col min="26" max="26" width="18.85546875" customWidth="1"/>
    <col min="27" max="27" width="18.42578125" customWidth="1"/>
    <col min="28" max="28" width="0.85546875" customWidth="1"/>
    <col min="29" max="29" width="5" customWidth="1"/>
  </cols>
  <sheetData>
    <row r="1" spans="1:29" s="2" customFormat="1" ht="15" customHeight="1" x14ac:dyDescent="0.2"/>
    <row r="2" spans="1:29" ht="25.5" customHeight="1" x14ac:dyDescent="0.35">
      <c r="B2" s="65"/>
      <c r="C2" s="65" t="s">
        <v>84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2"/>
    </row>
    <row r="3" spans="1:29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" x14ac:dyDescent="0.25">
      <c r="A4" s="2"/>
      <c r="B4" s="48"/>
      <c r="C4" s="49" t="s">
        <v>15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2"/>
    </row>
    <row r="5" spans="1:29" ht="18" x14ac:dyDescent="0.25">
      <c r="A5" s="2"/>
      <c r="B5" s="48"/>
      <c r="C5" s="57" t="s">
        <v>22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2"/>
    </row>
    <row r="6" spans="1:29" ht="18" x14ac:dyDescent="0.25">
      <c r="A6" s="2"/>
      <c r="B6" s="48"/>
      <c r="C6" s="49" t="s">
        <v>13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2"/>
    </row>
    <row r="7" spans="1:29" ht="18" x14ac:dyDescent="0.25">
      <c r="A7" s="2"/>
      <c r="B7" s="48"/>
      <c r="C7" s="49" t="s">
        <v>69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2"/>
    </row>
    <row r="8" spans="1:29" ht="18" x14ac:dyDescent="0.25">
      <c r="A8" s="2"/>
      <c r="B8" s="48"/>
      <c r="C8" s="49" t="s">
        <v>95</v>
      </c>
      <c r="D8" s="48"/>
      <c r="E8" s="48"/>
      <c r="F8" s="94">
        <v>0.15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2"/>
    </row>
    <row r="9" spans="1:29" ht="18" x14ac:dyDescent="0.25">
      <c r="A9" s="2"/>
      <c r="B9" s="48"/>
      <c r="C9" s="49" t="s">
        <v>68</v>
      </c>
      <c r="D9" s="48"/>
      <c r="E9" s="48"/>
      <c r="F9" s="94">
        <v>0.15</v>
      </c>
      <c r="G9" s="160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2"/>
    </row>
    <row r="10" spans="1:29" ht="18" x14ac:dyDescent="0.25">
      <c r="A10" s="2"/>
      <c r="B10" s="48"/>
      <c r="C10" s="49"/>
      <c r="D10" s="48"/>
      <c r="E10" s="48"/>
      <c r="F10" s="48"/>
      <c r="G10" s="160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2"/>
    </row>
    <row r="11" spans="1:29" ht="6.75" customHeight="1" x14ac:dyDescent="0.2">
      <c r="A11" s="2"/>
      <c r="B11" s="2"/>
      <c r="C11" s="46"/>
      <c r="D11" s="46"/>
      <c r="E11" s="46"/>
      <c r="F11" s="46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2"/>
      <c r="AA11" s="2"/>
      <c r="AB11" s="2"/>
      <c r="AC11" s="2"/>
    </row>
    <row r="12" spans="1:29" ht="20.25" customHeight="1" x14ac:dyDescent="0.2">
      <c r="A12" s="2"/>
      <c r="B12" s="4"/>
      <c r="C12" s="6"/>
      <c r="D12" s="6"/>
      <c r="E12" s="6"/>
      <c r="F12" s="6"/>
      <c r="G12" s="6"/>
      <c r="H12" s="6"/>
      <c r="I12" s="187"/>
      <c r="J12" s="187"/>
      <c r="K12" s="187"/>
      <c r="L12" s="187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4"/>
      <c r="Z12" s="7"/>
      <c r="AA12" s="7"/>
      <c r="AB12" s="4"/>
      <c r="AC12" s="2"/>
    </row>
    <row r="13" spans="1:29" s="1" customFormat="1" ht="51.75" customHeight="1" x14ac:dyDescent="0.2">
      <c r="A13" s="3"/>
      <c r="B13" s="4"/>
      <c r="C13" s="19" t="s">
        <v>1</v>
      </c>
      <c r="D13" s="20" t="s">
        <v>42</v>
      </c>
      <c r="E13" s="20" t="s">
        <v>23</v>
      </c>
      <c r="F13" s="19" t="str">
        <f>"30th June 2024 fee (co-payment) (incl GST @ "&amp;TEXT(PreviousGSTRate,"#0.0%")&amp;")"</f>
        <v>30th June 2024 fee (co-payment) (incl GST @ 15.0%)</v>
      </c>
      <c r="G13" s="19" t="s">
        <v>93</v>
      </c>
      <c r="H13" s="7"/>
      <c r="I13" s="188" t="s">
        <v>40</v>
      </c>
      <c r="J13" s="189"/>
      <c r="K13" s="190"/>
      <c r="L13" s="188" t="s">
        <v>41</v>
      </c>
      <c r="M13" s="189"/>
      <c r="N13" s="190"/>
      <c r="O13" s="21"/>
      <c r="P13" s="21"/>
      <c r="Q13" s="68"/>
      <c r="R13" s="7"/>
      <c r="S13" s="19" t="str">
        <f>"Proposed co-payment fee (incl GST @ " &amp; TEXT(CopaymentGSTRate,"#0.0%") &amp; ")"</f>
        <v>Proposed co-payment fee (incl GST @ 15.0%)</v>
      </c>
      <c r="T13" s="20" t="s">
        <v>43</v>
      </c>
      <c r="U13" s="20" t="s">
        <v>80</v>
      </c>
      <c r="V13" s="20" t="s">
        <v>81</v>
      </c>
      <c r="W13" s="20" t="s">
        <v>82</v>
      </c>
      <c r="X13" s="20" t="s">
        <v>44</v>
      </c>
      <c r="Y13" s="4"/>
      <c r="Z13" s="19" t="s">
        <v>47</v>
      </c>
      <c r="AA13" s="19" t="s">
        <v>45</v>
      </c>
      <c r="AB13" s="4"/>
      <c r="AC13" s="3"/>
    </row>
    <row r="14" spans="1:29" s="149" customFormat="1" ht="18" customHeight="1" x14ac:dyDescent="0.2">
      <c r="A14" s="150"/>
      <c r="B14" s="151"/>
      <c r="C14" s="159"/>
      <c r="D14" s="158"/>
      <c r="E14" s="158"/>
      <c r="F14" s="11"/>
      <c r="G14" s="12"/>
      <c r="H14" s="157"/>
      <c r="I14" s="156"/>
      <c r="J14" s="155"/>
      <c r="K14" s="154"/>
      <c r="L14" s="154"/>
      <c r="M14" s="154"/>
      <c r="N14" s="154"/>
      <c r="O14" s="154"/>
      <c r="P14" s="154"/>
      <c r="Q14" s="153"/>
      <c r="R14" s="152"/>
      <c r="S14" s="193" t="str">
        <f>IF(S15&lt;=0,"Under 6 age group won't count towards total co-payment adjustment","")</f>
        <v>Under 6 age group won't count towards total co-payment adjustment</v>
      </c>
      <c r="T14" s="193"/>
      <c r="U14" s="193"/>
      <c r="V14" s="193"/>
      <c r="W14" s="193"/>
      <c r="X14" s="193"/>
      <c r="Y14" s="193"/>
      <c r="Z14" s="193"/>
      <c r="AA14" s="193"/>
      <c r="AB14" s="151"/>
      <c r="AC14" s="150"/>
    </row>
    <row r="15" spans="1:29" s="1" customFormat="1" ht="15" customHeight="1" x14ac:dyDescent="0.2">
      <c r="A15" s="3"/>
      <c r="B15" s="4"/>
      <c r="C15" s="29" t="s">
        <v>0</v>
      </c>
      <c r="D15" s="66">
        <f>'Revenue Split'!D18</f>
        <v>0</v>
      </c>
      <c r="E15" s="66">
        <f>'Revenue Split'!E18</f>
        <v>0</v>
      </c>
      <c r="F15" s="59">
        <f>'Revenue Split'!F18</f>
        <v>0</v>
      </c>
      <c r="G15" s="59">
        <f>'Revenue Split'!G18</f>
        <v>0</v>
      </c>
      <c r="H15" s="12"/>
      <c r="I15" s="77">
        <f>(J15-1000)/10</f>
        <v>0</v>
      </c>
      <c r="J15" s="76">
        <v>1000</v>
      </c>
      <c r="K15" s="27"/>
      <c r="L15" s="147">
        <f>(M15-1000)/1000</f>
        <v>0</v>
      </c>
      <c r="M15" s="76">
        <v>1000</v>
      </c>
      <c r="N15" s="23"/>
      <c r="O15" s="24">
        <f>IF(I15&lt;&gt;0,1,0)</f>
        <v>0</v>
      </c>
      <c r="P15" s="24">
        <f>IF(L15&lt;&gt;0,1,0)</f>
        <v>0</v>
      </c>
      <c r="Q15" s="70" t="b">
        <f>IF(SUM(O15:P15)&gt;1,TRUE)</f>
        <v>0</v>
      </c>
      <c r="R15" s="6"/>
      <c r="S15" s="25">
        <f>IF(I15=0,(F15*(1+L15)),F15+I15)</f>
        <v>0</v>
      </c>
      <c r="T15" s="25">
        <f>S15/(1+CopaymentGSTRate)</f>
        <v>0</v>
      </c>
      <c r="U15" s="25">
        <v>0</v>
      </c>
      <c r="V15" s="25">
        <f>IF(E15=0,0,D15*U15/E15)</f>
        <v>0</v>
      </c>
      <c r="W15" s="25">
        <f>T15+V15</f>
        <v>0</v>
      </c>
      <c r="X15" s="74" t="str">
        <f>IF(G15=0,"n/a",(T15/G15-1))</f>
        <v>n/a</v>
      </c>
      <c r="Y15" s="4"/>
      <c r="Z15" s="25">
        <f>E15*G15</f>
        <v>0</v>
      </c>
      <c r="AA15" s="25">
        <f>E15*W15</f>
        <v>0</v>
      </c>
      <c r="AB15" s="4"/>
      <c r="AC15" s="3"/>
    </row>
    <row r="16" spans="1:29" s="1" customFormat="1" ht="18" customHeight="1" x14ac:dyDescent="0.2">
      <c r="A16" s="3"/>
      <c r="B16" s="4"/>
      <c r="C16" s="8"/>
      <c r="D16" s="9"/>
      <c r="E16" s="10"/>
      <c r="F16" s="11"/>
      <c r="G16" s="12"/>
      <c r="H16" s="12"/>
      <c r="I16" s="13"/>
      <c r="J16" s="5"/>
      <c r="K16" s="14"/>
      <c r="L16" s="14"/>
      <c r="M16" s="14"/>
      <c r="N16" s="14"/>
      <c r="O16" s="14"/>
      <c r="P16" s="14"/>
      <c r="Q16" s="69"/>
      <c r="R16" s="62"/>
      <c r="S16" s="194" t="str">
        <f>IF(S17&lt;=0,"Under 14 age group won't count towards total co-payment adjustment","")</f>
        <v>Under 14 age group won't count towards total co-payment adjustment</v>
      </c>
      <c r="T16" s="195"/>
      <c r="U16" s="195"/>
      <c r="V16" s="195"/>
      <c r="W16" s="195"/>
      <c r="X16" s="195"/>
      <c r="Y16" s="195"/>
      <c r="Z16" s="195"/>
      <c r="AA16" s="195"/>
      <c r="AB16" s="4"/>
      <c r="AC16" s="3"/>
    </row>
    <row r="17" spans="1:29" ht="15" customHeight="1" x14ac:dyDescent="0.2">
      <c r="A17" s="2"/>
      <c r="B17" s="4"/>
      <c r="C17" s="29" t="s">
        <v>55</v>
      </c>
      <c r="D17" s="66">
        <f>'Revenue Split'!D20</f>
        <v>0</v>
      </c>
      <c r="E17" s="66">
        <f>'Revenue Split'!E20</f>
        <v>0</v>
      </c>
      <c r="F17" s="59">
        <f>'Revenue Split'!F20</f>
        <v>0</v>
      </c>
      <c r="G17" s="59">
        <f>'Revenue Split'!G20</f>
        <v>0</v>
      </c>
      <c r="H17" s="12"/>
      <c r="I17" s="77">
        <f>(J17-1000)/10</f>
        <v>0</v>
      </c>
      <c r="J17" s="76">
        <v>1000</v>
      </c>
      <c r="K17" s="27"/>
      <c r="L17" s="147">
        <f>(M17-1000)/1000</f>
        <v>0</v>
      </c>
      <c r="M17" s="76">
        <v>1000</v>
      </c>
      <c r="N17" s="23"/>
      <c r="O17" s="24">
        <f>IF(I17&lt;&gt;0,1,0)</f>
        <v>0</v>
      </c>
      <c r="P17" s="24">
        <f>IF(L17&lt;&gt;0,1,0)</f>
        <v>0</v>
      </c>
      <c r="Q17" s="70" t="b">
        <f>IF(SUM(O17:P17)&gt;1,TRUE)</f>
        <v>0</v>
      </c>
      <c r="R17" s="6"/>
      <c r="S17" s="25">
        <f>IF(I17=0,(F17*(1+L17)),F17+I17)</f>
        <v>0</v>
      </c>
      <c r="T17" s="25">
        <f>S17/(1+CopaymentGSTRate)</f>
        <v>0</v>
      </c>
      <c r="U17" s="25">
        <v>0</v>
      </c>
      <c r="V17" s="25">
        <f>IF(E17=0,0,D17*U17/E17)</f>
        <v>0</v>
      </c>
      <c r="W17" s="25">
        <f>T17+V17</f>
        <v>0</v>
      </c>
      <c r="X17" s="74" t="str">
        <f>IF(G17=0,"n/a",(T17/G17-1))</f>
        <v>n/a</v>
      </c>
      <c r="Y17" s="4"/>
      <c r="Z17" s="25">
        <f>E17*G17</f>
        <v>0</v>
      </c>
      <c r="AA17" s="25">
        <f>E17*W17</f>
        <v>0</v>
      </c>
      <c r="AB17" s="4"/>
      <c r="AC17" s="2"/>
    </row>
    <row r="18" spans="1:29" ht="15" customHeight="1" x14ac:dyDescent="0.2">
      <c r="A18" s="2"/>
      <c r="B18" s="4"/>
      <c r="C18" s="8"/>
      <c r="D18" s="60"/>
      <c r="E18" s="67"/>
      <c r="F18" s="61"/>
      <c r="G18" s="92"/>
      <c r="H18" s="12"/>
      <c r="I18" s="18"/>
      <c r="J18" s="16"/>
      <c r="K18" s="14"/>
      <c r="L18" s="17"/>
      <c r="M18" s="14"/>
      <c r="N18" s="14"/>
      <c r="O18" s="14"/>
      <c r="P18" s="14"/>
      <c r="Q18" s="69"/>
      <c r="R18" s="6"/>
      <c r="S18" s="13"/>
      <c r="T18" s="13"/>
      <c r="U18" s="13"/>
      <c r="V18" s="13"/>
      <c r="W18" s="13"/>
      <c r="X18" s="13"/>
      <c r="Y18" s="4"/>
      <c r="Z18" s="73"/>
      <c r="AA18" s="73"/>
      <c r="AB18" s="4"/>
      <c r="AC18" s="2"/>
    </row>
    <row r="19" spans="1:29" ht="15" customHeight="1" x14ac:dyDescent="0.2">
      <c r="A19" s="2"/>
      <c r="B19" s="4"/>
      <c r="C19" s="22" t="s">
        <v>56</v>
      </c>
      <c r="D19" s="66">
        <f>'Revenue Split'!D22</f>
        <v>0</v>
      </c>
      <c r="E19" s="66">
        <f>'Revenue Split'!E22</f>
        <v>0</v>
      </c>
      <c r="F19" s="59">
        <f>'Revenue Split'!F22</f>
        <v>0</v>
      </c>
      <c r="G19" s="59">
        <f>'Revenue Split'!G22</f>
        <v>0</v>
      </c>
      <c r="H19" s="12"/>
      <c r="I19" s="77">
        <f>(J19-1000)/10</f>
        <v>0</v>
      </c>
      <c r="J19" s="76">
        <v>1000</v>
      </c>
      <c r="K19" s="28"/>
      <c r="L19" s="148">
        <f>(M19-1000)/1000</f>
        <v>0</v>
      </c>
      <c r="M19" s="76">
        <v>1000</v>
      </c>
      <c r="N19" s="26"/>
      <c r="O19" s="24">
        <f>IF(I19&lt;&gt;0,1,0)</f>
        <v>0</v>
      </c>
      <c r="P19" s="24">
        <f>IF(L19&lt;&gt;0,1,0)</f>
        <v>0</v>
      </c>
      <c r="Q19" s="70" t="b">
        <f>IF(SUM(O19:P19)&gt;1,TRUE)</f>
        <v>0</v>
      </c>
      <c r="R19" s="6"/>
      <c r="S19" s="25">
        <f>IF(I19=0,(F19*(1+L19)),F19+I19)</f>
        <v>0</v>
      </c>
      <c r="T19" s="25">
        <f>S19/(1+CopaymentGSTRate)</f>
        <v>0</v>
      </c>
      <c r="U19" s="25">
        <v>0</v>
      </c>
      <c r="V19" s="25">
        <f>IF(E19=0,0,D19*U19/E19)</f>
        <v>0</v>
      </c>
      <c r="W19" s="25">
        <f>T19+V19</f>
        <v>0</v>
      </c>
      <c r="X19" s="74" t="str">
        <f>IF(G19=0,"n/a",(T19/G19-1))</f>
        <v>n/a</v>
      </c>
      <c r="Y19" s="4"/>
      <c r="Z19" s="25">
        <f>E19*G19</f>
        <v>0</v>
      </c>
      <c r="AA19" s="25">
        <f>E19*W19</f>
        <v>0</v>
      </c>
      <c r="AB19" s="4"/>
      <c r="AC19" s="2"/>
    </row>
    <row r="20" spans="1:29" ht="15" customHeight="1" x14ac:dyDescent="0.2">
      <c r="A20" s="2"/>
      <c r="B20" s="4"/>
      <c r="C20" s="8"/>
      <c r="D20" s="119"/>
      <c r="E20" s="120"/>
      <c r="F20" s="61"/>
      <c r="G20" s="92"/>
      <c r="H20" s="12"/>
      <c r="I20" s="18"/>
      <c r="J20" s="16"/>
      <c r="K20" s="14"/>
      <c r="L20" s="17"/>
      <c r="M20" s="14"/>
      <c r="N20" s="14"/>
      <c r="O20" s="14"/>
      <c r="P20" s="14"/>
      <c r="Q20" s="69"/>
      <c r="R20" s="6"/>
      <c r="S20" s="13"/>
      <c r="T20" s="13"/>
      <c r="U20" s="13"/>
      <c r="V20" s="13"/>
      <c r="W20" s="13"/>
      <c r="X20" s="13"/>
      <c r="Y20" s="4"/>
      <c r="Z20" s="73"/>
      <c r="AA20" s="73"/>
      <c r="AB20" s="4"/>
      <c r="AC20" s="2"/>
    </row>
    <row r="21" spans="1:29" ht="15" customHeight="1" x14ac:dyDescent="0.2">
      <c r="A21" s="2"/>
      <c r="B21" s="4"/>
      <c r="C21" s="22" t="s">
        <v>57</v>
      </c>
      <c r="D21" s="66">
        <f>'Revenue Split'!D24</f>
        <v>0</v>
      </c>
      <c r="E21" s="66">
        <f>'Revenue Split'!E24</f>
        <v>0</v>
      </c>
      <c r="F21" s="59">
        <f>'Revenue Split'!F24</f>
        <v>0</v>
      </c>
      <c r="G21" s="59">
        <f>'Revenue Split'!G24</f>
        <v>0</v>
      </c>
      <c r="H21" s="12"/>
      <c r="I21" s="146">
        <f>S21-F21</f>
        <v>0</v>
      </c>
      <c r="J21" s="143">
        <v>760</v>
      </c>
      <c r="K21" s="145"/>
      <c r="L21" s="144">
        <f>(M21-1000)/1000</f>
        <v>0</v>
      </c>
      <c r="M21" s="143">
        <f>IF(F21=0,1000,S21/F21*1000)</f>
        <v>1000</v>
      </c>
      <c r="N21" s="142"/>
      <c r="O21" s="24">
        <f>IF(I21&lt;&gt;0,1,0)</f>
        <v>0</v>
      </c>
      <c r="P21" s="24">
        <f>IF(L21&lt;&gt;0,1,0)</f>
        <v>0</v>
      </c>
      <c r="Q21" s="70" t="b">
        <f>FALSE</f>
        <v>0</v>
      </c>
      <c r="R21" s="6"/>
      <c r="S21" s="25">
        <f>MIN(F21,MaxCSCFee_Youth)</f>
        <v>0</v>
      </c>
      <c r="T21" s="25">
        <f>S21/(1+CopaymentGSTRate)</f>
        <v>0</v>
      </c>
      <c r="U21" s="25">
        <f>Parameters!E14</f>
        <v>51.887597525844605</v>
      </c>
      <c r="V21" s="25">
        <f>IF(E21=0,0,D21*U21/E21)</f>
        <v>0</v>
      </c>
      <c r="W21" s="25">
        <f>T21+V21</f>
        <v>0</v>
      </c>
      <c r="X21" s="74" t="str">
        <f>IF(G21=0,"n/a",(T21/G21-1))</f>
        <v>n/a</v>
      </c>
      <c r="Y21" s="4"/>
      <c r="Z21" s="25">
        <f>E21*G21</f>
        <v>0</v>
      </c>
      <c r="AA21" s="25">
        <f>E21*W21</f>
        <v>0</v>
      </c>
      <c r="AB21" s="4"/>
      <c r="AC21" s="2"/>
    </row>
    <row r="22" spans="1:29" ht="15" customHeight="1" x14ac:dyDescent="0.2">
      <c r="A22" s="2"/>
      <c r="B22" s="4"/>
      <c r="C22" s="8"/>
      <c r="D22" s="60"/>
      <c r="E22" s="67"/>
      <c r="F22" s="61"/>
      <c r="G22" s="92"/>
      <c r="H22" s="12"/>
      <c r="I22" s="18"/>
      <c r="J22" s="16"/>
      <c r="K22" s="14"/>
      <c r="L22" s="17"/>
      <c r="M22" s="14"/>
      <c r="N22" s="14"/>
      <c r="O22" s="14"/>
      <c r="P22" s="14"/>
      <c r="Q22" s="69"/>
      <c r="R22" s="6"/>
      <c r="S22" s="13"/>
      <c r="T22" s="13"/>
      <c r="U22" s="13"/>
      <c r="V22" s="13"/>
      <c r="W22" s="13"/>
      <c r="X22" s="15"/>
      <c r="Y22" s="4"/>
      <c r="Z22" s="73"/>
      <c r="AA22" s="73"/>
      <c r="AB22" s="4"/>
      <c r="AC22" s="2"/>
    </row>
    <row r="23" spans="1:29" ht="15" customHeight="1" x14ac:dyDescent="0.2">
      <c r="A23" s="2"/>
      <c r="B23" s="4"/>
      <c r="C23" s="22" t="s">
        <v>58</v>
      </c>
      <c r="D23" s="66">
        <f>'Revenue Split'!D26</f>
        <v>0</v>
      </c>
      <c r="E23" s="66">
        <f>'Revenue Split'!E26</f>
        <v>0</v>
      </c>
      <c r="F23" s="59">
        <f>'Revenue Split'!F26</f>
        <v>0</v>
      </c>
      <c r="G23" s="59">
        <f>'Revenue Split'!G26</f>
        <v>0</v>
      </c>
      <c r="H23" s="12"/>
      <c r="I23" s="77">
        <f>(J23-1000)/10</f>
        <v>0</v>
      </c>
      <c r="J23" s="76">
        <v>1000</v>
      </c>
      <c r="K23" s="27"/>
      <c r="L23" s="147">
        <f>(M23-1000)/1000</f>
        <v>0</v>
      </c>
      <c r="M23" s="76">
        <v>1000</v>
      </c>
      <c r="N23" s="23"/>
      <c r="O23" s="24">
        <f>IF(I23&lt;&gt;0,1,0)</f>
        <v>0</v>
      </c>
      <c r="P23" s="24">
        <f>IF(L23&lt;&gt;0,1,0)</f>
        <v>0</v>
      </c>
      <c r="Q23" s="70" t="b">
        <f>IF(SUM(O23:P23)&gt;1,TRUE)</f>
        <v>0</v>
      </c>
      <c r="R23" s="6"/>
      <c r="S23" s="25">
        <f>IF(I23=0,(F23*(1+L23)),F23+I23)</f>
        <v>0</v>
      </c>
      <c r="T23" s="25">
        <f>S23/(1+CopaymentGSTRate)</f>
        <v>0</v>
      </c>
      <c r="U23" s="25">
        <v>0</v>
      </c>
      <c r="V23" s="25">
        <f>IF(E23=0,0,D23*U23/E23)</f>
        <v>0</v>
      </c>
      <c r="W23" s="25">
        <f>T23+V23</f>
        <v>0</v>
      </c>
      <c r="X23" s="74" t="str">
        <f>IF(G23=0,"n/a",(T23/G23-1))</f>
        <v>n/a</v>
      </c>
      <c r="Y23" s="4"/>
      <c r="Z23" s="25">
        <f>E23*G23</f>
        <v>0</v>
      </c>
      <c r="AA23" s="25">
        <f>E23*W23</f>
        <v>0</v>
      </c>
      <c r="AB23" s="4"/>
      <c r="AC23" s="2"/>
    </row>
    <row r="24" spans="1:29" ht="15" customHeight="1" x14ac:dyDescent="0.2">
      <c r="A24" s="2"/>
      <c r="B24" s="4"/>
      <c r="C24" s="8"/>
      <c r="D24" s="119"/>
      <c r="E24" s="120"/>
      <c r="F24" s="61"/>
      <c r="G24" s="92"/>
      <c r="H24" s="12"/>
      <c r="I24" s="18"/>
      <c r="J24" s="16"/>
      <c r="K24" s="14"/>
      <c r="L24" s="17"/>
      <c r="M24" s="14"/>
      <c r="N24" s="14"/>
      <c r="O24" s="14"/>
      <c r="P24" s="14"/>
      <c r="Q24" s="69"/>
      <c r="R24" s="6"/>
      <c r="S24" s="13"/>
      <c r="T24" s="13"/>
      <c r="U24" s="13"/>
      <c r="V24" s="13"/>
      <c r="W24" s="13"/>
      <c r="X24" s="15"/>
      <c r="Y24" s="4"/>
      <c r="Z24" s="73"/>
      <c r="AA24" s="73"/>
      <c r="AB24" s="4"/>
      <c r="AC24" s="2"/>
    </row>
    <row r="25" spans="1:29" ht="15" customHeight="1" x14ac:dyDescent="0.2">
      <c r="A25" s="2"/>
      <c r="B25" s="4"/>
      <c r="C25" s="22" t="s">
        <v>59</v>
      </c>
      <c r="D25" s="66">
        <f>'Revenue Split'!D28</f>
        <v>0</v>
      </c>
      <c r="E25" s="66">
        <f>'Revenue Split'!E28</f>
        <v>0</v>
      </c>
      <c r="F25" s="59">
        <f>'Revenue Split'!F28</f>
        <v>0</v>
      </c>
      <c r="G25" s="59">
        <f>'Revenue Split'!G28</f>
        <v>0</v>
      </c>
      <c r="H25" s="12"/>
      <c r="I25" s="146">
        <f>S25-F25</f>
        <v>0</v>
      </c>
      <c r="J25" s="143">
        <v>641</v>
      </c>
      <c r="K25" s="145"/>
      <c r="L25" s="144">
        <f>(M25-1000)/1000</f>
        <v>0</v>
      </c>
      <c r="M25" s="143">
        <f>IF(F25=0,1000,S25/F25*1000)</f>
        <v>1000</v>
      </c>
      <c r="N25" s="142"/>
      <c r="O25" s="24">
        <f>IF(I25&lt;&gt;0,1,0)</f>
        <v>0</v>
      </c>
      <c r="P25" s="24">
        <f>IF(L25&lt;&gt;0,1,0)</f>
        <v>0</v>
      </c>
      <c r="Q25" s="70" t="b">
        <f>FALSE</f>
        <v>0</v>
      </c>
      <c r="R25" s="6"/>
      <c r="S25" s="25">
        <f>MIN(F25,MaxCSCFee_Adult)</f>
        <v>0</v>
      </c>
      <c r="T25" s="25">
        <f>S25/(1+CopaymentGSTRate)</f>
        <v>0</v>
      </c>
      <c r="U25" s="25">
        <f>Parameters!E15</f>
        <v>71.760180053907348</v>
      </c>
      <c r="V25" s="25">
        <f>IF(E25=0,0,D25*U25/E25)</f>
        <v>0</v>
      </c>
      <c r="W25" s="25">
        <f>T25+V25</f>
        <v>0</v>
      </c>
      <c r="X25" s="74" t="str">
        <f>IF(G25=0,"n/a",(T25/G25-1))</f>
        <v>n/a</v>
      </c>
      <c r="Y25" s="4"/>
      <c r="Z25" s="25">
        <f>E25*G25</f>
        <v>0</v>
      </c>
      <c r="AA25" s="25">
        <f>E25*W25</f>
        <v>0</v>
      </c>
      <c r="AB25" s="4"/>
      <c r="AC25" s="2"/>
    </row>
    <row r="26" spans="1:29" ht="15" customHeight="1" x14ac:dyDescent="0.2">
      <c r="A26" s="2"/>
      <c r="B26" s="4"/>
      <c r="C26" s="8"/>
      <c r="D26" s="60"/>
      <c r="E26" s="67"/>
      <c r="F26" s="61"/>
      <c r="G26" s="92"/>
      <c r="H26" s="12"/>
      <c r="I26" s="18"/>
      <c r="J26" s="16"/>
      <c r="K26" s="14"/>
      <c r="L26" s="17"/>
      <c r="M26" s="14"/>
      <c r="N26" s="14"/>
      <c r="O26" s="14"/>
      <c r="P26" s="14"/>
      <c r="Q26" s="69"/>
      <c r="R26" s="6"/>
      <c r="S26" s="13"/>
      <c r="T26" s="13"/>
      <c r="U26" s="13"/>
      <c r="V26" s="13"/>
      <c r="W26" s="13"/>
      <c r="X26" s="15"/>
      <c r="Y26" s="4"/>
      <c r="Z26" s="73"/>
      <c r="AA26" s="73"/>
      <c r="AB26" s="4"/>
      <c r="AC26" s="2"/>
    </row>
    <row r="27" spans="1:29" ht="15" customHeight="1" x14ac:dyDescent="0.2">
      <c r="A27" s="2"/>
      <c r="B27" s="4"/>
      <c r="C27" s="22" t="s">
        <v>60</v>
      </c>
      <c r="D27" s="66">
        <f>'Revenue Split'!D30</f>
        <v>0</v>
      </c>
      <c r="E27" s="66">
        <f>'Revenue Split'!E30</f>
        <v>0</v>
      </c>
      <c r="F27" s="59">
        <f>'Revenue Split'!F30</f>
        <v>0</v>
      </c>
      <c r="G27" s="59">
        <f>'Revenue Split'!G30</f>
        <v>0</v>
      </c>
      <c r="H27" s="12"/>
      <c r="I27" s="77">
        <f>(J27-1000)/10</f>
        <v>0</v>
      </c>
      <c r="J27" s="76">
        <v>1000</v>
      </c>
      <c r="K27" s="27"/>
      <c r="L27" s="147">
        <f>(M27-1000)/1000</f>
        <v>0</v>
      </c>
      <c r="M27" s="76">
        <v>1000</v>
      </c>
      <c r="N27" s="23"/>
      <c r="O27" s="24">
        <f>IF(I27&lt;&gt;0,1,0)</f>
        <v>0</v>
      </c>
      <c r="P27" s="24">
        <f>IF(L27&lt;&gt;0,1,0)</f>
        <v>0</v>
      </c>
      <c r="Q27" s="70" t="b">
        <f>IF(SUM(O27:P27)&gt;1,TRUE)</f>
        <v>0</v>
      </c>
      <c r="R27" s="6"/>
      <c r="S27" s="25">
        <f>IF(I27=0,(F27*(1+L27)),F27+I27)</f>
        <v>0</v>
      </c>
      <c r="T27" s="25">
        <f>S27/(1+CopaymentGSTRate)</f>
        <v>0</v>
      </c>
      <c r="U27" s="25">
        <v>0</v>
      </c>
      <c r="V27" s="25">
        <f>IF(E27=0,0,D27*U27/E27)</f>
        <v>0</v>
      </c>
      <c r="W27" s="25">
        <f>T27+V27</f>
        <v>0</v>
      </c>
      <c r="X27" s="74" t="str">
        <f>IF(G27=0,"n/a",(T27/G27-1))</f>
        <v>n/a</v>
      </c>
      <c r="Y27" s="4"/>
      <c r="Z27" s="25">
        <f>E27*G27</f>
        <v>0</v>
      </c>
      <c r="AA27" s="25">
        <f>E27*W27</f>
        <v>0</v>
      </c>
      <c r="AB27" s="4"/>
      <c r="AC27" s="2"/>
    </row>
    <row r="28" spans="1:29" ht="15" customHeight="1" x14ac:dyDescent="0.2">
      <c r="A28" s="2"/>
      <c r="B28" s="4"/>
      <c r="C28" s="8"/>
      <c r="D28" s="119"/>
      <c r="E28" s="120"/>
      <c r="F28" s="61"/>
      <c r="G28" s="92"/>
      <c r="H28" s="12"/>
      <c r="I28" s="18"/>
      <c r="J28" s="16"/>
      <c r="K28" s="14"/>
      <c r="L28" s="17"/>
      <c r="M28" s="14"/>
      <c r="N28" s="14"/>
      <c r="O28" s="14"/>
      <c r="P28" s="14"/>
      <c r="Q28" s="69"/>
      <c r="R28" s="6"/>
      <c r="S28" s="13"/>
      <c r="T28" s="13"/>
      <c r="U28" s="13"/>
      <c r="V28" s="13"/>
      <c r="W28" s="13"/>
      <c r="X28" s="15"/>
      <c r="Y28" s="4"/>
      <c r="Z28" s="73"/>
      <c r="AA28" s="73"/>
      <c r="AB28" s="4"/>
      <c r="AC28" s="2"/>
    </row>
    <row r="29" spans="1:29" ht="15" customHeight="1" x14ac:dyDescent="0.2">
      <c r="A29" s="2"/>
      <c r="B29" s="4"/>
      <c r="C29" s="22" t="s">
        <v>61</v>
      </c>
      <c r="D29" s="66">
        <f>'Revenue Split'!D32</f>
        <v>0</v>
      </c>
      <c r="E29" s="66">
        <f>'Revenue Split'!E32</f>
        <v>0</v>
      </c>
      <c r="F29" s="59">
        <f>'Revenue Split'!F32</f>
        <v>0</v>
      </c>
      <c r="G29" s="59">
        <f>'Revenue Split'!G32</f>
        <v>0</v>
      </c>
      <c r="H29" s="12"/>
      <c r="I29" s="146">
        <f>S29-F29</f>
        <v>0</v>
      </c>
      <c r="J29" s="143">
        <v>641</v>
      </c>
      <c r="K29" s="145"/>
      <c r="L29" s="144">
        <f>(M29-1000)/1000</f>
        <v>0</v>
      </c>
      <c r="M29" s="143">
        <f>IF(F29=0,1000,S29/F29*1000)</f>
        <v>1000</v>
      </c>
      <c r="N29" s="142"/>
      <c r="O29" s="24">
        <f>IF(I29&lt;&gt;0,1,0)</f>
        <v>0</v>
      </c>
      <c r="P29" s="24">
        <f>IF(L29&lt;&gt;0,1,0)</f>
        <v>0</v>
      </c>
      <c r="Q29" s="70" t="b">
        <f>FALSE</f>
        <v>0</v>
      </c>
      <c r="R29" s="6"/>
      <c r="S29" s="25">
        <f>MIN(F29,MaxCSCFee_Adult)</f>
        <v>0</v>
      </c>
      <c r="T29" s="25">
        <f>S29/(1+CopaymentGSTRate)</f>
        <v>0</v>
      </c>
      <c r="U29" s="25">
        <f>Parameters!E16</f>
        <v>124.29775414699418</v>
      </c>
      <c r="V29" s="25">
        <f>IF(E29=0,0,D29*U29/E29)</f>
        <v>0</v>
      </c>
      <c r="W29" s="25">
        <f>T29+V29</f>
        <v>0</v>
      </c>
      <c r="X29" s="74" t="str">
        <f>IF(G29=0,"n/a",(T29/G29-1))</f>
        <v>n/a</v>
      </c>
      <c r="Y29" s="4"/>
      <c r="Z29" s="25">
        <f>E29*G29</f>
        <v>0</v>
      </c>
      <c r="AA29" s="25">
        <f>E29*W29</f>
        <v>0</v>
      </c>
      <c r="AB29" s="4"/>
      <c r="AC29" s="2"/>
    </row>
    <row r="30" spans="1:29" ht="15" customHeight="1" x14ac:dyDescent="0.2">
      <c r="A30" s="2"/>
      <c r="B30" s="4"/>
      <c r="C30" s="8"/>
      <c r="D30" s="60"/>
      <c r="E30" s="67"/>
      <c r="F30" s="61"/>
      <c r="G30" s="92"/>
      <c r="H30" s="12"/>
      <c r="I30" s="18"/>
      <c r="J30" s="16"/>
      <c r="K30" s="14"/>
      <c r="L30" s="17"/>
      <c r="M30" s="14"/>
      <c r="N30" s="14"/>
      <c r="O30" s="14"/>
      <c r="P30" s="14"/>
      <c r="Q30" s="69"/>
      <c r="R30" s="6"/>
      <c r="S30" s="13"/>
      <c r="T30" s="13"/>
      <c r="U30" s="13"/>
      <c r="V30" s="13"/>
      <c r="W30" s="13"/>
      <c r="X30" s="15"/>
      <c r="Y30" s="4"/>
      <c r="Z30" s="73"/>
      <c r="AA30" s="73"/>
      <c r="AB30" s="4"/>
      <c r="AC30" s="2"/>
    </row>
    <row r="31" spans="1:29" ht="15" customHeight="1" x14ac:dyDescent="0.2">
      <c r="A31" s="2"/>
      <c r="B31" s="4"/>
      <c r="C31" s="22" t="s">
        <v>62</v>
      </c>
      <c r="D31" s="66">
        <f>'Revenue Split'!D34</f>
        <v>0</v>
      </c>
      <c r="E31" s="66">
        <f>'Revenue Split'!E34</f>
        <v>0</v>
      </c>
      <c r="F31" s="59">
        <f>'Revenue Split'!F34</f>
        <v>0</v>
      </c>
      <c r="G31" s="59">
        <f>'Revenue Split'!G34</f>
        <v>0</v>
      </c>
      <c r="H31" s="12"/>
      <c r="I31" s="77">
        <f>(J31-1000)/10</f>
        <v>0</v>
      </c>
      <c r="J31" s="76">
        <v>1000</v>
      </c>
      <c r="K31" s="27"/>
      <c r="L31" s="147">
        <f>(M31-1000)/1000</f>
        <v>0</v>
      </c>
      <c r="M31" s="76">
        <v>1000</v>
      </c>
      <c r="N31" s="23"/>
      <c r="O31" s="24">
        <f>IF(I31&lt;&gt;0,1,0)</f>
        <v>0</v>
      </c>
      <c r="P31" s="24">
        <f>IF(L31&lt;&gt;0,1,0)</f>
        <v>0</v>
      </c>
      <c r="Q31" s="70" t="b">
        <f>IF(SUM(O31:P31)&gt;1,TRUE)</f>
        <v>0</v>
      </c>
      <c r="R31" s="6"/>
      <c r="S31" s="25">
        <f>IF(I31=0,(F31*(1+L31)),F31+I31)</f>
        <v>0</v>
      </c>
      <c r="T31" s="25">
        <f>S31/(1+CopaymentGSTRate)</f>
        <v>0</v>
      </c>
      <c r="U31" s="25">
        <v>0</v>
      </c>
      <c r="V31" s="25">
        <f>IF(E31=0,0,D31*U31/E31)</f>
        <v>0</v>
      </c>
      <c r="W31" s="25">
        <f>T31+V31</f>
        <v>0</v>
      </c>
      <c r="X31" s="74" t="str">
        <f>IF(G31=0,"n/a",(T31/G31-1))</f>
        <v>n/a</v>
      </c>
      <c r="Y31" s="4"/>
      <c r="Z31" s="25">
        <f>E31*G31</f>
        <v>0</v>
      </c>
      <c r="AA31" s="25">
        <f>E31*W31</f>
        <v>0</v>
      </c>
      <c r="AB31" s="4"/>
      <c r="AC31" s="2"/>
    </row>
    <row r="32" spans="1:29" ht="15" customHeight="1" x14ac:dyDescent="0.2">
      <c r="A32" s="2"/>
      <c r="B32" s="4"/>
      <c r="C32" s="8"/>
      <c r="D32" s="119"/>
      <c r="E32" s="120"/>
      <c r="F32" s="61"/>
      <c r="G32" s="92"/>
      <c r="H32" s="12"/>
      <c r="I32" s="18"/>
      <c r="J32" s="16"/>
      <c r="K32" s="14"/>
      <c r="L32" s="17"/>
      <c r="M32" s="14"/>
      <c r="N32" s="14"/>
      <c r="O32" s="14"/>
      <c r="P32" s="14"/>
      <c r="Q32" s="69"/>
      <c r="R32" s="6"/>
      <c r="S32" s="13"/>
      <c r="T32" s="13"/>
      <c r="U32" s="13"/>
      <c r="V32" s="13"/>
      <c r="W32" s="13"/>
      <c r="X32" s="15"/>
      <c r="Y32" s="4"/>
      <c r="Z32" s="73"/>
      <c r="AA32" s="73"/>
      <c r="AB32" s="4"/>
      <c r="AC32" s="2"/>
    </row>
    <row r="33" spans="1:29" ht="15" customHeight="1" x14ac:dyDescent="0.2">
      <c r="A33" s="2"/>
      <c r="B33" s="4"/>
      <c r="C33" s="22" t="s">
        <v>63</v>
      </c>
      <c r="D33" s="66">
        <f>'Revenue Split'!D36</f>
        <v>0</v>
      </c>
      <c r="E33" s="66">
        <f>'Revenue Split'!E36</f>
        <v>0</v>
      </c>
      <c r="F33" s="59">
        <f>'Revenue Split'!F36</f>
        <v>0</v>
      </c>
      <c r="G33" s="59">
        <f>'Revenue Split'!G36</f>
        <v>0</v>
      </c>
      <c r="H33" s="12"/>
      <c r="I33" s="146">
        <f>S33-F33</f>
        <v>0</v>
      </c>
      <c r="J33" s="143">
        <v>641</v>
      </c>
      <c r="K33" s="145"/>
      <c r="L33" s="144">
        <f>(M33-1000)/1000</f>
        <v>0</v>
      </c>
      <c r="M33" s="143">
        <f>IF(F33=0,1000,S33/F33*1000)</f>
        <v>1000</v>
      </c>
      <c r="N33" s="142"/>
      <c r="O33" s="24">
        <f>IF(I33&lt;&gt;0,1,0)</f>
        <v>0</v>
      </c>
      <c r="P33" s="24">
        <f>IF(L33&lt;&gt;0,1,0)</f>
        <v>0</v>
      </c>
      <c r="Q33" s="70" t="b">
        <f>FALSE</f>
        <v>0</v>
      </c>
      <c r="R33" s="6"/>
      <c r="S33" s="25">
        <f>MIN(F33,MaxCSCFee_Adult)</f>
        <v>0</v>
      </c>
      <c r="T33" s="25">
        <f>S33/(1+CopaymentGSTRate)</f>
        <v>0</v>
      </c>
      <c r="U33" s="25">
        <f>Parameters!E17</f>
        <v>240.64238412471565</v>
      </c>
      <c r="V33" s="25">
        <f>IF(E33=0,0,D33*U33/E33)</f>
        <v>0</v>
      </c>
      <c r="W33" s="25">
        <f>T33+V33</f>
        <v>0</v>
      </c>
      <c r="X33" s="74" t="str">
        <f>IF(G33=0,"n/a",(T33/G33-1))</f>
        <v>n/a</v>
      </c>
      <c r="Y33" s="4"/>
      <c r="Z33" s="25">
        <f>E33*G33</f>
        <v>0</v>
      </c>
      <c r="AA33" s="25">
        <f>E33*W33</f>
        <v>0</v>
      </c>
      <c r="AB33" s="4"/>
      <c r="AC33" s="2"/>
    </row>
    <row r="34" spans="1:29" ht="15" customHeight="1" x14ac:dyDescent="0.2">
      <c r="A34" s="2"/>
      <c r="B34" s="4"/>
      <c r="C34" s="8"/>
      <c r="D34" s="60"/>
      <c r="E34" s="67"/>
      <c r="F34" s="61"/>
      <c r="G34" s="92"/>
      <c r="H34" s="12"/>
      <c r="I34" s="18"/>
      <c r="J34" s="16"/>
      <c r="K34" s="14"/>
      <c r="L34" s="17"/>
      <c r="M34" s="14"/>
      <c r="N34" s="14"/>
      <c r="O34" s="14"/>
      <c r="P34" s="14"/>
      <c r="Q34" s="69"/>
      <c r="R34" s="6"/>
      <c r="S34" s="13"/>
      <c r="T34" s="13"/>
      <c r="U34" s="13"/>
      <c r="V34" s="13"/>
      <c r="W34" s="13"/>
      <c r="X34" s="15"/>
      <c r="Y34" s="4"/>
      <c r="Z34" s="73"/>
      <c r="AA34" s="73"/>
      <c r="AB34" s="4"/>
      <c r="AC34" s="2"/>
    </row>
    <row r="35" spans="1:29" ht="15" customHeight="1" x14ac:dyDescent="0.2">
      <c r="A35" s="2"/>
      <c r="B35" s="4"/>
      <c r="C35" s="22" t="s">
        <v>64</v>
      </c>
      <c r="D35" s="66">
        <f>'Revenue Split'!D38</f>
        <v>0</v>
      </c>
      <c r="E35" s="66">
        <f>'Revenue Split'!E38</f>
        <v>0</v>
      </c>
      <c r="F35" s="59">
        <f>'Revenue Split'!F38</f>
        <v>0</v>
      </c>
      <c r="G35" s="59">
        <f>'Revenue Split'!G38</f>
        <v>0</v>
      </c>
      <c r="H35" s="12"/>
      <c r="I35" s="77">
        <f>(J35-1000)/10</f>
        <v>0</v>
      </c>
      <c r="J35" s="76">
        <v>1000</v>
      </c>
      <c r="K35" s="27"/>
      <c r="L35" s="147">
        <f>(M35-1000)/1000</f>
        <v>0</v>
      </c>
      <c r="M35" s="76">
        <v>1000</v>
      </c>
      <c r="N35" s="23"/>
      <c r="O35" s="24">
        <f>IF(I35&lt;&gt;0,1,0)</f>
        <v>0</v>
      </c>
      <c r="P35" s="24">
        <f>IF(L35&lt;&gt;0,1,0)</f>
        <v>0</v>
      </c>
      <c r="Q35" s="70" t="b">
        <f>IF(SUM(O35:P35)&gt;1,TRUE)</f>
        <v>0</v>
      </c>
      <c r="R35" s="6"/>
      <c r="S35" s="25">
        <f>IF(I35=0,(F35*(1+L35)),F35+I35)</f>
        <v>0</v>
      </c>
      <c r="T35" s="25">
        <f>S35/(1+CopaymentGSTRate)</f>
        <v>0</v>
      </c>
      <c r="U35" s="25">
        <v>0</v>
      </c>
      <c r="V35" s="25">
        <f>IF(E35=0,0,D35*U35/E35)</f>
        <v>0</v>
      </c>
      <c r="W35" s="25">
        <f>T35+V35</f>
        <v>0</v>
      </c>
      <c r="X35" s="74" t="str">
        <f>IF(G35=0,"n/a",(T35/G35-1))</f>
        <v>n/a</v>
      </c>
      <c r="Y35" s="4"/>
      <c r="Z35" s="25">
        <f>E35*G35</f>
        <v>0</v>
      </c>
      <c r="AA35" s="25">
        <f>E35*W35</f>
        <v>0</v>
      </c>
      <c r="AB35" s="4"/>
      <c r="AC35" s="2"/>
    </row>
    <row r="36" spans="1:29" ht="15" customHeight="1" x14ac:dyDescent="0.2">
      <c r="A36" s="2"/>
      <c r="B36" s="4"/>
      <c r="C36" s="8"/>
      <c r="D36" s="119"/>
      <c r="E36" s="120"/>
      <c r="F36" s="61"/>
      <c r="G36" s="92"/>
      <c r="H36" s="12"/>
      <c r="I36" s="18"/>
      <c r="J36" s="16"/>
      <c r="K36" s="14"/>
      <c r="L36" s="17"/>
      <c r="M36" s="14"/>
      <c r="N36" s="14"/>
      <c r="O36" s="14"/>
      <c r="P36" s="14"/>
      <c r="Q36" s="69"/>
      <c r="R36" s="6"/>
      <c r="S36" s="13"/>
      <c r="T36" s="13"/>
      <c r="U36" s="13"/>
      <c r="V36" s="13"/>
      <c r="W36" s="13"/>
      <c r="X36" s="15"/>
      <c r="Y36" s="4"/>
      <c r="Z36" s="73"/>
      <c r="AA36" s="73"/>
      <c r="AB36" s="4"/>
      <c r="AC36" s="2"/>
    </row>
    <row r="37" spans="1:29" ht="15" customHeight="1" x14ac:dyDescent="0.2">
      <c r="A37" s="2"/>
      <c r="B37" s="4"/>
      <c r="C37" s="22" t="s">
        <v>65</v>
      </c>
      <c r="D37" s="66">
        <f>'Revenue Split'!D40</f>
        <v>0</v>
      </c>
      <c r="E37" s="66">
        <f>'Revenue Split'!E40</f>
        <v>0</v>
      </c>
      <c r="F37" s="59">
        <f>'Revenue Split'!F40</f>
        <v>0</v>
      </c>
      <c r="G37" s="59">
        <f>'Revenue Split'!G40</f>
        <v>0</v>
      </c>
      <c r="H37" s="12"/>
      <c r="I37" s="146">
        <f>S37-F37</f>
        <v>0</v>
      </c>
      <c r="J37" s="143">
        <v>641</v>
      </c>
      <c r="K37" s="145"/>
      <c r="L37" s="144">
        <f>(M37-1000)/1000</f>
        <v>0</v>
      </c>
      <c r="M37" s="143">
        <f>IF(F37=0,1000,S37/F37*1000)</f>
        <v>1000</v>
      </c>
      <c r="N37" s="142"/>
      <c r="O37" s="24">
        <f>IF(I37&lt;&gt;0,1,0)</f>
        <v>0</v>
      </c>
      <c r="P37" s="24">
        <f>IF(L37&lt;&gt;0,1,0)</f>
        <v>0</v>
      </c>
      <c r="Q37" s="70" t="b">
        <f>FALSE</f>
        <v>0</v>
      </c>
      <c r="R37" s="6"/>
      <c r="S37" s="25">
        <f>MIN(F37,MaxCSCFee_Adult)</f>
        <v>0</v>
      </c>
      <c r="T37" s="25">
        <f>S37/(1+CopaymentGSTRate)</f>
        <v>0</v>
      </c>
      <c r="U37" s="25">
        <f>Parameters!E18</f>
        <v>322.89636076464552</v>
      </c>
      <c r="V37" s="25">
        <f>IF(E37=0,0,D37*U37/E37)</f>
        <v>0</v>
      </c>
      <c r="W37" s="25">
        <f>T37+V37</f>
        <v>0</v>
      </c>
      <c r="X37" s="74" t="str">
        <f>IF(G37=0,"n/a",(T37/G37-1))</f>
        <v>n/a</v>
      </c>
      <c r="Y37" s="4"/>
      <c r="Z37" s="25">
        <f>E37*G37</f>
        <v>0</v>
      </c>
      <c r="AA37" s="25">
        <f>E37*W37</f>
        <v>0</v>
      </c>
      <c r="AB37" s="4"/>
      <c r="AC37" s="2"/>
    </row>
    <row r="38" spans="1:29" ht="15" customHeight="1" x14ac:dyDescent="0.2">
      <c r="A38" s="2"/>
      <c r="B38" s="4"/>
      <c r="C38" s="8"/>
      <c r="D38" s="71"/>
      <c r="E38" s="71"/>
      <c r="F38" s="72"/>
      <c r="G38" s="72"/>
      <c r="H38" s="12"/>
      <c r="I38" s="191" t="str">
        <f>IF(OR(Q15,Q17,Q19, Q21,Q23, Q25,Q27, Q29,Q31, Q33,Q35, Q37),"You can change the co-payment by % OR $ but not both","")</f>
        <v/>
      </c>
      <c r="J38" s="191"/>
      <c r="K38" s="191"/>
      <c r="L38" s="191"/>
      <c r="M38" s="191"/>
      <c r="N38" s="191"/>
      <c r="O38" s="138"/>
      <c r="P38" s="138"/>
      <c r="Q38" s="138"/>
      <c r="R38" s="75"/>
      <c r="S38" s="141" t="str">
        <f>IF(OR(S15&lt;0,S17&lt;0,S19&lt;0,S21&lt;0,S23&lt;0,S25&lt;0,S27&lt;0,S29&lt;0,S31&lt;0,S33&lt;0,S35&lt;0, S37&lt;0),"Fees must be greater than zero","")</f>
        <v/>
      </c>
      <c r="T38" s="141"/>
      <c r="U38" s="141"/>
      <c r="V38" s="141"/>
      <c r="W38" s="141"/>
      <c r="X38" s="140"/>
      <c r="Y38" s="134"/>
      <c r="Z38" s="139"/>
      <c r="AA38" s="139"/>
      <c r="AB38" s="4"/>
      <c r="AC38" s="2"/>
    </row>
    <row r="39" spans="1:29" ht="20.25" customHeight="1" x14ac:dyDescent="0.2">
      <c r="A39" s="2"/>
      <c r="B39" s="4"/>
      <c r="C39" s="8"/>
      <c r="D39" s="71"/>
      <c r="E39" s="71"/>
      <c r="F39" s="133"/>
      <c r="G39" s="4"/>
      <c r="H39" s="12"/>
      <c r="I39" s="192"/>
      <c r="J39" s="192"/>
      <c r="K39" s="192"/>
      <c r="L39" s="192"/>
      <c r="M39" s="192"/>
      <c r="N39" s="192"/>
      <c r="O39" s="138"/>
      <c r="P39" s="138"/>
      <c r="Q39" s="138"/>
      <c r="R39" s="137"/>
      <c r="S39" s="136"/>
      <c r="T39" s="136"/>
      <c r="U39" s="136"/>
      <c r="V39" s="136"/>
      <c r="W39" s="136"/>
      <c r="X39" s="135"/>
      <c r="Y39" s="134"/>
      <c r="Z39" s="18" t="s">
        <v>21</v>
      </c>
      <c r="AA39" s="18" t="s">
        <v>20</v>
      </c>
      <c r="AB39" s="4"/>
      <c r="AC39" s="2"/>
    </row>
    <row r="40" spans="1:29" ht="20.25" customHeight="1" x14ac:dyDescent="0.2">
      <c r="A40" s="2"/>
      <c r="B40" s="128"/>
      <c r="C40" s="4"/>
      <c r="D40" s="4"/>
      <c r="E40" s="4"/>
      <c r="F40" s="133"/>
      <c r="G40" s="4"/>
      <c r="H40" s="4"/>
      <c r="I40" s="4"/>
      <c r="J40" s="18"/>
      <c r="K40" s="4"/>
      <c r="L40" s="4"/>
      <c r="M40" s="4"/>
      <c r="N40" s="4"/>
      <c r="O40" s="4"/>
      <c r="P40" s="4"/>
      <c r="Q40" s="4"/>
      <c r="R40" s="4"/>
      <c r="S40" s="105" t="s">
        <v>67</v>
      </c>
      <c r="T40" s="121"/>
      <c r="U40" s="121"/>
      <c r="V40" s="121"/>
      <c r="W40" s="121"/>
      <c r="X40" s="124"/>
      <c r="Y40" s="130"/>
      <c r="Z40" s="110">
        <f>SUM(Z15,Z17,Z19,Z21,Z23,Z25,Z27,Z29,Z31,Z33,Z35,Z37)</f>
        <v>0</v>
      </c>
      <c r="AA40" s="110">
        <f>SUM(AA15,AA17,AA19,AA21,AA23,AA25,AA27,AA29,AA31,AA33,AA35,AA37)</f>
        <v>0</v>
      </c>
      <c r="AB40" s="132" t="e">
        <f>AA40/Z40-1</f>
        <v>#DIV/0!</v>
      </c>
      <c r="AC40" s="2"/>
    </row>
    <row r="41" spans="1:29" ht="20.25" hidden="1" customHeight="1" x14ac:dyDescent="0.2">
      <c r="A41" s="2"/>
      <c r="B41" s="128"/>
      <c r="C41" s="4"/>
      <c r="D41" s="4"/>
      <c r="E41" s="4"/>
      <c r="F41" s="4"/>
      <c r="G41" s="4"/>
      <c r="H41" s="4"/>
      <c r="I41" s="4"/>
      <c r="J41" s="18"/>
      <c r="K41" s="4"/>
      <c r="L41" s="4"/>
      <c r="M41" s="4"/>
      <c r="N41" s="4"/>
      <c r="O41" s="4"/>
      <c r="P41" s="4"/>
      <c r="Q41" s="4"/>
      <c r="R41" s="4"/>
      <c r="S41" s="106"/>
      <c r="T41" s="131"/>
      <c r="U41" s="131"/>
      <c r="V41" s="131"/>
      <c r="W41" s="131"/>
      <c r="X41" s="124"/>
      <c r="Y41" s="130"/>
      <c r="Z41" s="129">
        <f>SUM(Z$19:Z$37)+SUMIF($S$15:$S$17,"&gt;0",Z$15:Z$17)</f>
        <v>0</v>
      </c>
      <c r="AA41" s="129">
        <f>SUM(AA$19:AA$37)+SUMIF($S$15:$S$17,"&gt;0",AA$15:AA$17)</f>
        <v>0</v>
      </c>
      <c r="AB41" s="128" t="e">
        <f>AA41/Z41-1</f>
        <v>#DIV/0!</v>
      </c>
      <c r="AC41" s="2"/>
    </row>
    <row r="42" spans="1:29" ht="20.25" customHeight="1" x14ac:dyDescent="0.25">
      <c r="A42" s="2"/>
      <c r="B42" s="45"/>
      <c r="C42" s="4"/>
      <c r="D42" s="4"/>
      <c r="E42" s="4"/>
      <c r="F42" s="4"/>
      <c r="G42" s="4"/>
      <c r="H42" s="4"/>
      <c r="I42" s="4"/>
      <c r="J42" s="125"/>
      <c r="K42" s="4"/>
      <c r="L42" s="4"/>
      <c r="M42" s="4"/>
      <c r="N42" s="4"/>
      <c r="O42" s="4"/>
      <c r="P42" s="4"/>
      <c r="Q42" s="4"/>
      <c r="R42" s="4"/>
      <c r="S42" s="105" t="s">
        <v>24</v>
      </c>
      <c r="T42" s="124"/>
      <c r="U42" s="124"/>
      <c r="V42" s="124"/>
      <c r="W42" s="124"/>
      <c r="X42" s="124"/>
      <c r="Y42" s="127"/>
      <c r="Z42" s="115" t="str">
        <f>IF(Z41=0,"n/a",(AA41/Z41-1))</f>
        <v>n/a</v>
      </c>
      <c r="AA42" s="121"/>
      <c r="AB42" s="45"/>
      <c r="AC42" s="126"/>
    </row>
    <row r="43" spans="1:29" ht="20.25" customHeight="1" x14ac:dyDescent="0.25">
      <c r="A43" s="2"/>
      <c r="B43" s="45"/>
      <c r="C43" s="4"/>
      <c r="D43" s="4"/>
      <c r="E43" s="4"/>
      <c r="F43" s="4"/>
      <c r="G43" s="4"/>
      <c r="H43" s="4"/>
      <c r="I43" s="4"/>
      <c r="J43" s="125"/>
      <c r="K43" s="4"/>
      <c r="L43" s="4"/>
      <c r="M43" s="4"/>
      <c r="N43" s="4"/>
      <c r="O43" s="4"/>
      <c r="P43" s="4"/>
      <c r="Q43" s="4"/>
      <c r="R43" s="125"/>
      <c r="S43" s="105" t="s">
        <v>25</v>
      </c>
      <c r="T43" s="124"/>
      <c r="U43" s="124"/>
      <c r="V43" s="124"/>
      <c r="W43" s="124"/>
      <c r="X43" s="107" t="str">
        <f>'Annual Statement Summary'!D58</f>
        <v>2024/25</v>
      </c>
      <c r="Y43" s="123"/>
      <c r="Z43" s="122">
        <f>'Annual Statement Summary'!E58</f>
        <v>7.7600000000000002E-2</v>
      </c>
      <c r="AA43" s="121"/>
      <c r="AB43" s="45"/>
      <c r="AC43" s="2"/>
    </row>
    <row r="44" spans="1:29" ht="15" customHeight="1" x14ac:dyDescent="0.2">
      <c r="A44" s="2"/>
      <c r="B44" s="4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5"/>
      <c r="AA44" s="45"/>
      <c r="AB44" s="45"/>
      <c r="AC44" s="2"/>
    </row>
    <row r="45" spans="1:29" ht="25.5" customHeight="1" x14ac:dyDescent="0.2">
      <c r="A45" s="2"/>
      <c r="B45" s="45"/>
      <c r="C45" s="5"/>
      <c r="D45" s="4"/>
      <c r="E45" s="64" t="s">
        <v>66</v>
      </c>
      <c r="F45" s="64"/>
      <c r="G45" s="64"/>
      <c r="H45" s="4"/>
      <c r="I45" s="186" t="str">
        <f>IF(AND(ISNUMBER(Z42),Z42&gt;Z43),"Revenue % change exceeds co-payment annual statement","Revenue % change within co-payment annual statement")</f>
        <v>Revenue % change within co-payment annual statement</v>
      </c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45"/>
      <c r="AC45" s="2"/>
    </row>
    <row r="46" spans="1:29" x14ac:dyDescent="0.2">
      <c r="A46" s="2"/>
      <c r="B46" s="45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2"/>
    </row>
    <row r="47" spans="1:29" ht="24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"/>
      <c r="B324" s="2"/>
    </row>
    <row r="325" spans="1:29" x14ac:dyDescent="0.2">
      <c r="A325" s="2"/>
      <c r="B325" s="2"/>
    </row>
    <row r="326" spans="1:29" x14ac:dyDescent="0.2">
      <c r="A326" s="2"/>
      <c r="B326" s="2"/>
    </row>
    <row r="327" spans="1:29" x14ac:dyDescent="0.2">
      <c r="A327" s="2"/>
      <c r="B327" s="2"/>
    </row>
    <row r="328" spans="1:29" x14ac:dyDescent="0.2">
      <c r="A328" s="2"/>
      <c r="B328" s="2"/>
    </row>
    <row r="329" spans="1:29" x14ac:dyDescent="0.2">
      <c r="A329" s="2"/>
      <c r="B329" s="2"/>
    </row>
    <row r="330" spans="1:29" x14ac:dyDescent="0.2">
      <c r="A330" s="2"/>
      <c r="B330" s="2"/>
    </row>
    <row r="331" spans="1:29" x14ac:dyDescent="0.2">
      <c r="A331" s="2"/>
      <c r="B331" s="2"/>
    </row>
    <row r="332" spans="1:29" x14ac:dyDescent="0.2">
      <c r="A332" s="2"/>
      <c r="B332" s="2"/>
    </row>
    <row r="333" spans="1:29" x14ac:dyDescent="0.2">
      <c r="A333" s="2"/>
      <c r="B333" s="2"/>
    </row>
    <row r="334" spans="1:29" x14ac:dyDescent="0.2">
      <c r="A334" s="2"/>
      <c r="B334" s="2"/>
    </row>
    <row r="335" spans="1:29" x14ac:dyDescent="0.2">
      <c r="A335" s="2"/>
      <c r="B335" s="2"/>
    </row>
    <row r="336" spans="1:29" x14ac:dyDescent="0.2">
      <c r="A336" s="2"/>
      <c r="B336" s="2"/>
    </row>
    <row r="337" spans="1:2" x14ac:dyDescent="0.2">
      <c r="A337" s="2"/>
      <c r="B337" s="2"/>
    </row>
    <row r="338" spans="1:2" x14ac:dyDescent="0.2">
      <c r="A338" s="2"/>
      <c r="B338" s="2"/>
    </row>
    <row r="339" spans="1:2" x14ac:dyDescent="0.2">
      <c r="A339" s="2"/>
      <c r="B339" s="2"/>
    </row>
    <row r="340" spans="1:2" x14ac:dyDescent="0.2">
      <c r="A340" s="2"/>
      <c r="B340" s="2"/>
    </row>
    <row r="341" spans="1:2" x14ac:dyDescent="0.2">
      <c r="A341" s="2"/>
      <c r="B341" s="2"/>
    </row>
    <row r="342" spans="1:2" x14ac:dyDescent="0.2">
      <c r="A342" s="2"/>
      <c r="B342" s="2"/>
    </row>
    <row r="343" spans="1:2" x14ac:dyDescent="0.2">
      <c r="A343" s="2"/>
      <c r="B343" s="2"/>
    </row>
    <row r="344" spans="1:2" x14ac:dyDescent="0.2">
      <c r="A344" s="2"/>
      <c r="B344" s="2"/>
    </row>
    <row r="345" spans="1:2" x14ac:dyDescent="0.2">
      <c r="A345" s="2"/>
      <c r="B345" s="2"/>
    </row>
    <row r="346" spans="1:2" x14ac:dyDescent="0.2">
      <c r="A346" s="2"/>
      <c r="B346" s="2"/>
    </row>
    <row r="347" spans="1:2" x14ac:dyDescent="0.2">
      <c r="A347" s="2"/>
      <c r="B347" s="2"/>
    </row>
    <row r="348" spans="1:2" x14ac:dyDescent="0.2">
      <c r="A348" s="2"/>
      <c r="B348" s="2"/>
    </row>
    <row r="349" spans="1:2" x14ac:dyDescent="0.2">
      <c r="A349" s="2"/>
      <c r="B349" s="2"/>
    </row>
    <row r="350" spans="1:2" x14ac:dyDescent="0.2">
      <c r="A350" s="2"/>
      <c r="B350" s="2"/>
    </row>
    <row r="351" spans="1:2" x14ac:dyDescent="0.2">
      <c r="A351" s="2"/>
      <c r="B351" s="2"/>
    </row>
    <row r="352" spans="1:2" x14ac:dyDescent="0.2">
      <c r="A352" s="2"/>
      <c r="B352" s="2"/>
    </row>
    <row r="353" spans="1:2" x14ac:dyDescent="0.2">
      <c r="A353" s="2"/>
      <c r="B353" s="2"/>
    </row>
    <row r="354" spans="1:2" x14ac:dyDescent="0.2">
      <c r="A354" s="2"/>
      <c r="B354" s="2"/>
    </row>
    <row r="355" spans="1:2" x14ac:dyDescent="0.2">
      <c r="A355" s="2"/>
      <c r="B355" s="2"/>
    </row>
    <row r="356" spans="1:2" x14ac:dyDescent="0.2">
      <c r="A356" s="2"/>
      <c r="B356" s="2"/>
    </row>
    <row r="357" spans="1:2" x14ac:dyDescent="0.2">
      <c r="A357" s="2"/>
      <c r="B357" s="2"/>
    </row>
    <row r="358" spans="1:2" x14ac:dyDescent="0.2">
      <c r="A358" s="2"/>
      <c r="B358" s="2"/>
    </row>
    <row r="359" spans="1:2" x14ac:dyDescent="0.2">
      <c r="A359" s="2"/>
      <c r="B359" s="2"/>
    </row>
    <row r="360" spans="1:2" x14ac:dyDescent="0.2">
      <c r="A360" s="2"/>
      <c r="B360" s="2"/>
    </row>
    <row r="361" spans="1:2" x14ac:dyDescent="0.2">
      <c r="A361" s="2"/>
      <c r="B361" s="2"/>
    </row>
    <row r="362" spans="1:2" x14ac:dyDescent="0.2">
      <c r="A362" s="2"/>
      <c r="B362" s="2"/>
    </row>
    <row r="363" spans="1:2" x14ac:dyDescent="0.2">
      <c r="A363" s="2"/>
      <c r="B363" s="2"/>
    </row>
  </sheetData>
  <sheetProtection algorithmName="SHA-512" hashValue="3HanOFi4ufybTtl+OY8zvS6klRwZEXQRHdyfKgDAzjaq1ZAsBpGV2pgrn1YsopdJxX9RpJ+qP4ruvBjYP/Kwqg==" saltValue="Xa69biLPeRiatL9sNQA3CA==" spinCount="100000" sheet="1" objects="1" scenarios="1"/>
  <mergeCells count="7">
    <mergeCell ref="I45:AA45"/>
    <mergeCell ref="I12:L12"/>
    <mergeCell ref="I13:K13"/>
    <mergeCell ref="L13:N13"/>
    <mergeCell ref="I38:N39"/>
    <mergeCell ref="S14:AA14"/>
    <mergeCell ref="S16:AA16"/>
  </mergeCells>
  <conditionalFormatting sqref="Q15">
    <cfRule type="cellIs" dxfId="32" priority="68" stopIfTrue="1" operator="equal">
      <formula>TRUE</formula>
    </cfRule>
  </conditionalFormatting>
  <conditionalFormatting sqref="Q17 Q21 Q25 Q29 Q33 Q37">
    <cfRule type="cellIs" dxfId="31" priority="71" stopIfTrue="1" operator="equal">
      <formula>TRUE</formula>
    </cfRule>
  </conditionalFormatting>
  <conditionalFormatting sqref="Q19">
    <cfRule type="cellIs" dxfId="30" priority="65" stopIfTrue="1" operator="equal">
      <formula>TRUE</formula>
    </cfRule>
  </conditionalFormatting>
  <conditionalFormatting sqref="Q23">
    <cfRule type="cellIs" dxfId="29" priority="63" stopIfTrue="1" operator="equal">
      <formula>TRUE</formula>
    </cfRule>
  </conditionalFormatting>
  <conditionalFormatting sqref="Q27">
    <cfRule type="cellIs" dxfId="28" priority="61" stopIfTrue="1" operator="equal">
      <formula>TRUE</formula>
    </cfRule>
  </conditionalFormatting>
  <conditionalFormatting sqref="Q31">
    <cfRule type="cellIs" dxfId="27" priority="59" stopIfTrue="1" operator="equal">
      <formula>TRUE</formula>
    </cfRule>
  </conditionalFormatting>
  <conditionalFormatting sqref="Q35">
    <cfRule type="cellIs" dxfId="26" priority="57" stopIfTrue="1" operator="equal">
      <formula>TRUE</formula>
    </cfRule>
  </conditionalFormatting>
  <conditionalFormatting sqref="R38:R39 X38:X39">
    <cfRule type="cellIs" dxfId="25" priority="72" stopIfTrue="1" operator="equal">
      <formula>"You can change the co-payment by % OR $ but not both"</formula>
    </cfRule>
  </conditionalFormatting>
  <conditionalFormatting sqref="S15:W15">
    <cfRule type="cellIs" dxfId="24" priority="69" stopIfTrue="1" operator="lessThan">
      <formula>0</formula>
    </cfRule>
  </conditionalFormatting>
  <conditionalFormatting sqref="S17:W17">
    <cfRule type="cellIs" dxfId="23" priority="22" stopIfTrue="1" operator="lessThan">
      <formula>0</formula>
    </cfRule>
  </conditionalFormatting>
  <conditionalFormatting sqref="S19:W19">
    <cfRule type="cellIs" dxfId="22" priority="21" stopIfTrue="1" operator="lessThan">
      <formula>0</formula>
    </cfRule>
  </conditionalFormatting>
  <conditionalFormatting sqref="S21:W21">
    <cfRule type="cellIs" dxfId="21" priority="20" stopIfTrue="1" operator="lessThan">
      <formula>0</formula>
    </cfRule>
  </conditionalFormatting>
  <conditionalFormatting sqref="S23:W23">
    <cfRule type="cellIs" dxfId="20" priority="19" stopIfTrue="1" operator="lessThan">
      <formula>0</formula>
    </cfRule>
  </conditionalFormatting>
  <conditionalFormatting sqref="S25:W25">
    <cfRule type="cellIs" dxfId="19" priority="18" stopIfTrue="1" operator="lessThan">
      <formula>0</formula>
    </cfRule>
  </conditionalFormatting>
  <conditionalFormatting sqref="S27:W27">
    <cfRule type="cellIs" dxfId="18" priority="17" stopIfTrue="1" operator="lessThan">
      <formula>0</formula>
    </cfRule>
  </conditionalFormatting>
  <conditionalFormatting sqref="S29:W29">
    <cfRule type="cellIs" dxfId="17" priority="16" stopIfTrue="1" operator="lessThan">
      <formula>0</formula>
    </cfRule>
  </conditionalFormatting>
  <conditionalFormatting sqref="S31:W31">
    <cfRule type="cellIs" dxfId="16" priority="15" stopIfTrue="1" operator="lessThan">
      <formula>0</formula>
    </cfRule>
  </conditionalFormatting>
  <conditionalFormatting sqref="S33:W33">
    <cfRule type="cellIs" dxfId="15" priority="14" stopIfTrue="1" operator="lessThan">
      <formula>0</formula>
    </cfRule>
  </conditionalFormatting>
  <conditionalFormatting sqref="S35:W35">
    <cfRule type="cellIs" dxfId="14" priority="13" stopIfTrue="1" operator="lessThan">
      <formula>0</formula>
    </cfRule>
  </conditionalFormatting>
  <conditionalFormatting sqref="S37:W37">
    <cfRule type="cellIs" dxfId="13" priority="12" stopIfTrue="1" operator="lessThan">
      <formula>0</formula>
    </cfRule>
  </conditionalFormatting>
  <conditionalFormatting sqref="AA15">
    <cfRule type="cellIs" dxfId="12" priority="67" stopIfTrue="1" operator="notEqual">
      <formula>Z15</formula>
    </cfRule>
  </conditionalFormatting>
  <conditionalFormatting sqref="AA17">
    <cfRule type="cellIs" dxfId="11" priority="11" stopIfTrue="1" operator="notEqual">
      <formula>Z17</formula>
    </cfRule>
  </conditionalFormatting>
  <conditionalFormatting sqref="AA19">
    <cfRule type="cellIs" dxfId="10" priority="10" stopIfTrue="1" operator="notEqual">
      <formula>Z19</formula>
    </cfRule>
  </conditionalFormatting>
  <conditionalFormatting sqref="AA21">
    <cfRule type="cellIs" dxfId="9" priority="9" stopIfTrue="1" operator="notEqual">
      <formula>Z21</formula>
    </cfRule>
  </conditionalFormatting>
  <conditionalFormatting sqref="AA23">
    <cfRule type="cellIs" dxfId="8" priority="8" stopIfTrue="1" operator="notEqual">
      <formula>Z23</formula>
    </cfRule>
  </conditionalFormatting>
  <conditionalFormatting sqref="AA25">
    <cfRule type="cellIs" dxfId="7" priority="7" stopIfTrue="1" operator="notEqual">
      <formula>Z25</formula>
    </cfRule>
  </conditionalFormatting>
  <conditionalFormatting sqref="AA27">
    <cfRule type="cellIs" dxfId="6" priority="6" stopIfTrue="1" operator="notEqual">
      <formula>Z27</formula>
    </cfRule>
  </conditionalFormatting>
  <conditionalFormatting sqref="AA29">
    <cfRule type="cellIs" dxfId="5" priority="5" stopIfTrue="1" operator="notEqual">
      <formula>Z29</formula>
    </cfRule>
  </conditionalFormatting>
  <conditionalFormatting sqref="AA31">
    <cfRule type="cellIs" dxfId="4" priority="4" stopIfTrue="1" operator="notEqual">
      <formula>Z31</formula>
    </cfRule>
  </conditionalFormatting>
  <conditionalFormatting sqref="AA33">
    <cfRule type="cellIs" dxfId="3" priority="3" stopIfTrue="1" operator="notEqual">
      <formula>Z33</formula>
    </cfRule>
  </conditionalFormatting>
  <conditionalFormatting sqref="AA35">
    <cfRule type="cellIs" dxfId="2" priority="2" stopIfTrue="1" operator="notEqual">
      <formula>Z35</formula>
    </cfRule>
  </conditionalFormatting>
  <conditionalFormatting sqref="AA37">
    <cfRule type="cellIs" dxfId="1" priority="1" stopIfTrue="1" operator="notEqual">
      <formula>Z37</formula>
    </cfRule>
  </conditionalFormatting>
  <conditionalFormatting sqref="AA40">
    <cfRule type="cellIs" dxfId="0" priority="70" stopIfTrue="1" operator="notEqual">
      <formula>Z40</formula>
    </cfRule>
  </conditionalFormatting>
  <pageMargins left="0.25" right="0.25" top="0.75" bottom="0.75" header="0.3" footer="0.3"/>
  <pageSetup paperSize="9" scale="46" orientation="landscape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pinner 2">
              <controlPr defaultSize="0" autoPict="0">
                <anchor moveWithCells="1" sizeWithCells="1">
                  <from>
                    <xdr:col>12</xdr:col>
                    <xdr:colOff>0</xdr:colOff>
                    <xdr:row>16</xdr:row>
                    <xdr:rowOff>9525</xdr:rowOff>
                  </from>
                  <to>
                    <xdr:col>14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Spinner 3">
              <controlPr defaultSize="0" autoPict="0">
                <anchor moveWithCells="1" sizeWithCells="1">
                  <from>
                    <xdr:col>9</xdr:col>
                    <xdr:colOff>0</xdr:colOff>
                    <xdr:row>14</xdr:row>
                    <xdr:rowOff>9525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Spinner 4">
              <controlPr defaultSize="0" autoPict="0">
                <anchor moveWithCells="1" sizeWithCells="1">
                  <from>
                    <xdr:col>12</xdr:col>
                    <xdr:colOff>0</xdr:colOff>
                    <xdr:row>14</xdr:row>
                    <xdr:rowOff>9525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Spinner 5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Spinner 6">
              <controlPr defaultSize="0" autoPict="0">
                <anchor moveWithCells="1" sizeWithCells="1">
                  <from>
                    <xdr:col>12</xdr:col>
                    <xdr:colOff>0</xdr:colOff>
                    <xdr:row>18</xdr:row>
                    <xdr:rowOff>9525</xdr:rowOff>
                  </from>
                  <to>
                    <xdr:col>14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Spinner 7">
              <controlPr defaultSize="0" autoPict="0">
                <anchor moveWithCells="1" siz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Spinner 8">
              <controlPr defaultSiz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Spinner 9">
              <controlPr defaultSize="0" autoPict="0">
                <anchor moveWithCells="1" sizeWithCells="1">
                  <from>
                    <xdr:col>9</xdr:col>
                    <xdr:colOff>0</xdr:colOff>
                    <xdr:row>26</xdr:row>
                    <xdr:rowOff>9525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Spinner 10">
              <controlPr defaultSize="0" autoPict="0">
                <anchor moveWithCells="1" siz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Spinner 11">
              <controlPr defaultSize="0" autoPict="0">
                <anchor moveWithCells="1" sizeWithCells="1">
                  <from>
                    <xdr:col>9</xdr:col>
                    <xdr:colOff>0</xdr:colOff>
                    <xdr:row>30</xdr:row>
                    <xdr:rowOff>9525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Spinner 12">
              <controlPr defaultSize="0" autoPict="0">
                <anchor moveWithCells="1" siz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Spinner 13">
              <controlPr defaultSize="0" autoPict="0">
                <anchor moveWithCells="1" sizeWithCells="1">
                  <from>
                    <xdr:col>9</xdr:col>
                    <xdr:colOff>0</xdr:colOff>
                    <xdr:row>34</xdr:row>
                    <xdr:rowOff>9525</xdr:rowOff>
                  </from>
                  <to>
                    <xdr:col>11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Spinner 14">
              <controlPr defaultSize="0" autoPict="0">
                <anchor moveWithCells="1" sizeWithCells="1">
                  <from>
                    <xdr:col>12</xdr:col>
                    <xdr:colOff>0</xdr:colOff>
                    <xdr:row>34</xdr:row>
                    <xdr:rowOff>9525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D52" sqref="D52"/>
    </sheetView>
  </sheetViews>
  <sheetFormatPr defaultRowHeight="12.75" x14ac:dyDescent="0.2"/>
  <cols>
    <col min="1" max="1" width="22.42578125" bestFit="1" customWidth="1"/>
    <col min="4" max="4" width="13.85546875" customWidth="1"/>
    <col min="5" max="5" width="17.28515625" customWidth="1"/>
  </cols>
  <sheetData>
    <row r="1" spans="1:7" x14ac:dyDescent="0.2">
      <c r="E1" s="161"/>
      <c r="F1" s="161"/>
      <c r="G1" s="161"/>
    </row>
    <row r="2" spans="1:7" x14ac:dyDescent="0.2">
      <c r="E2" s="162"/>
      <c r="F2" s="162"/>
      <c r="G2" s="162"/>
    </row>
    <row r="3" spans="1:7" x14ac:dyDescent="0.2">
      <c r="E3" s="162"/>
      <c r="F3" s="162"/>
      <c r="G3" s="162"/>
    </row>
    <row r="4" spans="1:7" x14ac:dyDescent="0.2">
      <c r="A4" t="s">
        <v>79</v>
      </c>
      <c r="B4" s="163">
        <v>13</v>
      </c>
      <c r="E4" s="162"/>
      <c r="F4" s="162"/>
      <c r="G4" s="162"/>
    </row>
    <row r="5" spans="1:7" x14ac:dyDescent="0.2">
      <c r="A5" t="s">
        <v>78</v>
      </c>
      <c r="B5" s="163">
        <v>19.5</v>
      </c>
      <c r="E5" s="162"/>
      <c r="F5" s="162"/>
      <c r="G5" s="162"/>
    </row>
    <row r="6" spans="1:7" x14ac:dyDescent="0.2">
      <c r="E6" s="162"/>
      <c r="F6" s="162"/>
      <c r="G6" s="162"/>
    </row>
    <row r="7" spans="1:7" x14ac:dyDescent="0.2">
      <c r="E7" s="162"/>
      <c r="F7" s="162"/>
      <c r="G7" s="162"/>
    </row>
    <row r="8" spans="1:7" x14ac:dyDescent="0.2">
      <c r="E8" s="162"/>
      <c r="F8" s="162"/>
      <c r="G8" s="162"/>
    </row>
    <row r="11" spans="1:7" x14ac:dyDescent="0.2">
      <c r="A11" s="171" t="s">
        <v>87</v>
      </c>
      <c r="D11" t="s">
        <v>77</v>
      </c>
      <c r="E11" s="172" t="s">
        <v>88</v>
      </c>
    </row>
    <row r="12" spans="1:7" x14ac:dyDescent="0.2">
      <c r="D12" t="s">
        <v>76</v>
      </c>
      <c r="E12" s="162">
        <v>0</v>
      </c>
    </row>
    <row r="13" spans="1:7" x14ac:dyDescent="0.2">
      <c r="D13" t="s">
        <v>75</v>
      </c>
      <c r="E13" s="162">
        <v>0</v>
      </c>
    </row>
    <row r="14" spans="1:7" x14ac:dyDescent="0.2">
      <c r="D14" t="s">
        <v>74</v>
      </c>
      <c r="E14" s="162">
        <v>51.887597525844605</v>
      </c>
    </row>
    <row r="15" spans="1:7" x14ac:dyDescent="0.2">
      <c r="D15" t="s">
        <v>73</v>
      </c>
      <c r="E15" s="162">
        <v>71.760180053907348</v>
      </c>
    </row>
    <row r="16" spans="1:7" x14ac:dyDescent="0.2">
      <c r="D16" t="s">
        <v>72</v>
      </c>
      <c r="E16" s="162">
        <v>124.29775414699418</v>
      </c>
    </row>
    <row r="17" spans="4:5" x14ac:dyDescent="0.2">
      <c r="D17" t="s">
        <v>71</v>
      </c>
      <c r="E17" s="162">
        <v>240.64238412471565</v>
      </c>
    </row>
    <row r="18" spans="4:5" x14ac:dyDescent="0.2">
      <c r="D18" t="s">
        <v>70</v>
      </c>
      <c r="E18" s="162">
        <v>322.89636076464552</v>
      </c>
    </row>
  </sheetData>
  <sheetProtection algorithmName="SHA-512" hashValue="UFbQs6qqqtlO6oW/xIMHq3cU47Sx6kqW7kFByRQJnP6yyzk+Sju2x78+6MwLtI9VJK054XtPKlR4ZYKQABEz6g==" saltValue="uA0yKk+ZQwXb5hOPqbLOAA==" spinCount="100000" sheet="1" objects="1" scenarios="1"/>
  <dataValidations count="1">
    <dataValidation type="list" allowBlank="1" showInputMessage="1" showErrorMessage="1" errorTitle="Include Top Up Capitation" error="Must be Yes or No." promptTitle="Include Top Up Capitation" prompt="Yes to Include the top up capitation in the template, No to exclude them." sqref="B2" xr:uid="{00000000-0002-0000-0400-000000000000}">
      <formula1>"Yes,No"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UNCLASSIFIED&amp;1#_x000D_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ebf29b3f-1e51-457b-ae0c-362182e58074" ContentTypeId="0x010100D5C1E13D20A8554992C24F7EE470E023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3c88c-d550-4ff1-afdc-d5dc691f60b0">
      <Value>2</Value>
      <Value>3</Value>
    </TaxCatchAll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_dlc_DocId xmlns="1648de66-f3f9-4d4b-aae7-60266db04554">1000205-1572720606-85055</_dlc_DocId>
    <_dlc_DocIdUrl xmlns="1648de66-f3f9-4d4b-aae7-60266db04554">
      <Url>https://hauoraaotearoa.sharepoint.com/sites/1000205/_layouts/15/DocIdRedir.aspx?ID=1000205-1572720606-85055</Url>
      <Description>1000205-1572720606-85055</Description>
    </_dlc_DocIdUrl>
    <HNZReviewDate xmlns="9253c88c-d550-4ff1-afdc-d5dc691f60b0" xsi:nil="true"/>
    <HNZOwner xmlns="7c3935ea-b804-4422-a480-ea607dd1238f">
      <UserInfo>
        <DisplayName/>
        <AccountId xsi:nil="true"/>
        <AccountType/>
      </UserInfo>
    </HNZOwner>
    <p777f0da518742b188a1f7fd5ee91810 xmlns="7c3935ea-b804-4422-a480-ea607dd1238f" xsi:nil="true"/>
    <f3e7f0a218d8438586e2a8545792c0ef xmlns="7c3935ea-b804-4422-a480-ea607dd1238f">
      <Terms xmlns="http://schemas.microsoft.com/office/infopath/2007/PartnerControls"/>
    </f3e7f0a218d8438586e2a8545792c0e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EB08A956379B234BAA190B618FD43420" ma:contentTypeVersion="19" ma:contentTypeDescription="" ma:contentTypeScope="" ma:versionID="47e3088792aed61884185750855f1cb5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7c3935ea-b804-4422-a480-ea607dd1238f" xmlns:ns4="1648de66-f3f9-4d4b-aae7-60266db04554" targetNamespace="http://schemas.microsoft.com/office/2006/metadata/properties" ma:root="true" ma:fieldsID="204807b35e57e20becdce7189d4a8b2c" ns1:_="" ns2:_="" ns3:_="" ns4:_="">
    <xsd:import namespace="http://schemas.microsoft.com/sharepoint/v3"/>
    <xsd:import namespace="9253c88c-d550-4ff1-afdc-d5dc691f60b0"/>
    <xsd:import namespace="7c3935ea-b804-4422-a480-ea607dd1238f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0fd8053b-0874-47de-b4a1-e474eba2a82e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0fd8053b-0874-47de-b4a1-e474eba2a82e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062317-8FD8-46F1-A694-5F08627324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CAD414B-C47E-4B2F-810B-2402B16D308B}"/>
</file>

<file path=customXml/itemProps3.xml><?xml version="1.0" encoding="utf-8"?>
<ds:datastoreItem xmlns:ds="http://schemas.openxmlformats.org/officeDocument/2006/customXml" ds:itemID="{B166FF4F-4EBD-42E0-AD27-DA0FDAB208C5}">
  <ds:schemaRefs>
    <ds:schemaRef ds:uri="http://purl.org/dc/elements/1.1/"/>
    <ds:schemaRef ds:uri="http://schemas.microsoft.com/office/2006/documentManagement/types"/>
    <ds:schemaRef ds:uri="http://schemas.microsoft.com/sharepoint/v3"/>
    <ds:schemaRef ds:uri="9253c88c-d550-4ff1-afdc-d5dc691f60b0"/>
    <ds:schemaRef ds:uri="1648de66-f3f9-4d4b-aae7-60266db04554"/>
    <ds:schemaRef ds:uri="http://schemas.microsoft.com/office/infopath/2007/PartnerControls"/>
    <ds:schemaRef ds:uri="e9f0c186-92ea-4dfc-a694-a9b8a7eb4cc7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18BBE86-1E2D-4BA8-A373-236A895171E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FCF0703-E861-4FE9-8E42-D4C6C7C84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Revenue Split</vt:lpstr>
      <vt:lpstr>Annual Statement Summary</vt:lpstr>
      <vt:lpstr>Co-payment Template</vt:lpstr>
      <vt:lpstr>Parameters</vt:lpstr>
      <vt:lpstr>CopaymentGSTRate</vt:lpstr>
      <vt:lpstr>DefaultCapitationContribution</vt:lpstr>
      <vt:lpstr>DefaultCopaymentContribution</vt:lpstr>
      <vt:lpstr>IncludeTopUp</vt:lpstr>
      <vt:lpstr>MaxCSCFee_Adult</vt:lpstr>
      <vt:lpstr>MaxCSCFee_Youth</vt:lpstr>
      <vt:lpstr>PreviousGSTRate</vt:lpstr>
      <vt:lpstr>'Annual Statement Summary'!Print_Area</vt:lpstr>
      <vt:lpstr>'Co-payment Template'!Print_Area</vt:lpstr>
      <vt:lpstr>'Revenue Split'!Print_Area</vt:lpstr>
    </vt:vector>
  </TitlesOfParts>
  <Company>LECG,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Simon Hope</dc:creator>
  <cp:lastModifiedBy>Harnish Jariwala</cp:lastModifiedBy>
  <cp:lastPrinted>2018-10-14T22:36:56Z</cp:lastPrinted>
  <dcterms:created xsi:type="dcterms:W3CDTF">2006-12-15T01:02:58Z</dcterms:created>
  <dcterms:modified xsi:type="dcterms:W3CDTF">2024-07-22T00:52:47Z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0x010100D5C1E13D20A8554992C24F7EE470E0230200EB08A956379B234BAA190B618FD43420</vt:lpwstr>
  </property>
  <property fmtid="{D5CDD505-2E9C-101B-9397-08002B2CF9AE}" pid="3" name="Order">
    <vt:r8>100</vt:r8>
  </property>
  <property fmtid="{D5CDD505-2E9C-101B-9397-08002B2CF9AE}" pid="4" name="MSIP_Label_96de0340-1b79-4219-98d1-80f4121fcf17_Enabled">
    <vt:lpwstr>true</vt:lpwstr>
  </property>
  <property fmtid="{D5CDD505-2E9C-101B-9397-08002B2CF9AE}" pid="5" name="MSIP_Label_96de0340-1b79-4219-98d1-80f4121fcf17_SetDate">
    <vt:lpwstr>2022-06-15T02:30:51Z</vt:lpwstr>
  </property>
  <property fmtid="{D5CDD505-2E9C-101B-9397-08002B2CF9AE}" pid="6" name="MSIP_Label_96de0340-1b79-4219-98d1-80f4121fcf17_Method">
    <vt:lpwstr>Privileged</vt:lpwstr>
  </property>
  <property fmtid="{D5CDD505-2E9C-101B-9397-08002B2CF9AE}" pid="7" name="MSIP_Label_96de0340-1b79-4219-98d1-80f4121fcf17_Name">
    <vt:lpwstr>UNCLASSIFIED</vt:lpwstr>
  </property>
  <property fmtid="{D5CDD505-2E9C-101B-9397-08002B2CF9AE}" pid="8" name="MSIP_Label_96de0340-1b79-4219-98d1-80f4121fcf17_SiteId">
    <vt:lpwstr>0051ec7f-c4f5-41e6-b397-24b855b2a57e</vt:lpwstr>
  </property>
  <property fmtid="{D5CDD505-2E9C-101B-9397-08002B2CF9AE}" pid="9" name="MSIP_Label_96de0340-1b79-4219-98d1-80f4121fcf17_ActionId">
    <vt:lpwstr>c3d9c52d-cbf8-4468-b5cf-62e78cb254f2</vt:lpwstr>
  </property>
  <property fmtid="{D5CDD505-2E9C-101B-9397-08002B2CF9AE}" pid="10" name="MSIP_Label_96de0340-1b79-4219-98d1-80f4121fcf17_ContentBits">
    <vt:lpwstr>1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  <property fmtid="{D5CDD505-2E9C-101B-9397-08002B2CF9AE}" pid="18" name="ka9b207035bc48f2a4f6a2bfed7195b70">
    <vt:lpwstr>Commissioning|15b5b4c6-5772-46c7-92cb-dbba43ced6f6</vt:lpwstr>
  </property>
  <property fmtid="{D5CDD505-2E9C-101B-9397-08002B2CF9AE}" pid="19" name="mb22360ee3e3407ca28e907eb3b7ca6b0">
    <vt:lpwstr>Draft|4dbd6f0d-7021-43d2-a391-03666245495e</vt:lpwstr>
  </property>
  <property fmtid="{D5CDD505-2E9C-101B-9397-08002B2CF9AE}" pid="20" name="BusinessFunction">
    <vt:lpwstr>3;#Commissioning|15b5b4c6-5772-46c7-92cb-dbba43ced6f6</vt:lpwstr>
  </property>
  <property fmtid="{D5CDD505-2E9C-101B-9397-08002B2CF9AE}" pid="21" name="HNZStatus">
    <vt:lpwstr>2;#Draft|4dbd6f0d-7021-43d2-a391-03666245495e</vt:lpwstr>
  </property>
  <property fmtid="{D5CDD505-2E9C-101B-9397-08002B2CF9AE}" pid="22" name="_dlc_DocIdItemGuid">
    <vt:lpwstr>7c8c2687-abd6-47e2-8950-9967a17e7d0c</vt:lpwstr>
  </property>
  <property fmtid="{D5CDD505-2E9C-101B-9397-08002B2CF9AE}" pid="23" name="p777f0da518742b188a1f7fd5ee918100">
    <vt:lpwstr/>
  </property>
  <property fmtid="{D5CDD505-2E9C-101B-9397-08002B2CF9AE}" pid="24" name="f3e7f0a218d8438586e2a8545792c0ef0">
    <vt:lpwstr/>
  </property>
  <property fmtid="{D5CDD505-2E9C-101B-9397-08002B2CF9AE}" pid="25" name="b129038a2c8d4de88edfb48f2f360037">
    <vt:lpwstr/>
  </property>
  <property fmtid="{D5CDD505-2E9C-101B-9397-08002B2CF9AE}" pid="26" name="Life_x0020_Course">
    <vt:lpwstr/>
  </property>
  <property fmtid="{D5CDD505-2E9C-101B-9397-08002B2CF9AE}" pid="27" name="p7110e5651294189b89368865130750f0">
    <vt:lpwstr/>
  </property>
  <property fmtid="{D5CDD505-2E9C-101B-9397-08002B2CF9AE}" pid="28" name="Work_x0020_Programme">
    <vt:lpwstr/>
  </property>
  <property fmtid="{D5CDD505-2E9C-101B-9397-08002B2CF9AE}" pid="29" name="HNZLocalArea">
    <vt:lpwstr/>
  </property>
  <property fmtid="{D5CDD505-2E9C-101B-9397-08002B2CF9AE}" pid="30" name="HNZLifeCourse">
    <vt:lpwstr/>
  </property>
  <property fmtid="{D5CDD505-2E9C-101B-9397-08002B2CF9AE}" pid="31" name="HNZWorkProgramme">
    <vt:lpwstr/>
  </property>
  <property fmtid="{D5CDD505-2E9C-101B-9397-08002B2CF9AE}" pid="32" name="HNZRegion">
    <vt:lpwstr/>
  </property>
  <property fmtid="{D5CDD505-2E9C-101B-9397-08002B2CF9AE}" pid="33" name="n7550351343a46f2a8525b73f60545f8">
    <vt:lpwstr/>
  </property>
  <property fmtid="{D5CDD505-2E9C-101B-9397-08002B2CF9AE}" pid="34" name="lcf76f155ced4ddcb4097134ff3c332f">
    <vt:lpwstr/>
  </property>
  <property fmtid="{D5CDD505-2E9C-101B-9397-08002B2CF9AE}" pid="35" name="HNZTopic">
    <vt:lpwstr/>
  </property>
  <property fmtid="{D5CDD505-2E9C-101B-9397-08002B2CF9AE}" pid="36" name="Work Programme">
    <vt:lpwstr/>
  </property>
  <property fmtid="{D5CDD505-2E9C-101B-9397-08002B2CF9AE}" pid="37" name="Life Course">
    <vt:lpwstr/>
  </property>
</Properties>
</file>