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auoraaotearoa.sharepoint.com/sites/1000218/PlanningandPerformance/General/Service Modelling/From 3DHB/02 Living Well/Primary Care/005 Capitation/Model/GP Fee-setting templates/2024-25/"/>
    </mc:Choice>
  </mc:AlternateContent>
  <xr:revisionPtr revIDLastSave="34" documentId="8_{FC5F675C-D6A6-4115-8283-52E676F6D0C2}" xr6:coauthVersionLast="47" xr6:coauthVersionMax="47" xr10:uidLastSave="{BAFA15D5-9097-4E8D-B00E-C07776CF2013}"/>
  <bookViews>
    <workbookView xWindow="-120" yWindow="-120" windowWidth="29040" windowHeight="15840" tabRatio="639" xr2:uid="{00000000-000D-0000-FFFF-FFFF00000000}"/>
  </bookViews>
  <sheets>
    <sheet name="Revenue Split" sheetId="4" r:id="rId1"/>
    <sheet name="Annual Statement Summary" sheetId="3" r:id="rId2"/>
    <sheet name="Co-payment Template" sheetId="1" r:id="rId3"/>
  </sheets>
  <definedNames>
    <definedName name="CopaymentGSTRate">'Co-payment Template'!$F$9</definedName>
    <definedName name="DefaultCapitationContribution">'Annual Statement Summary'!$F$10</definedName>
    <definedName name="DefaultCopaymentContribution">'Annual Statement Summary'!$G$10</definedName>
    <definedName name="PreviousGSTRate">'Co-payment Template'!$F$8</definedName>
    <definedName name="_xlnm.Print_Area" localSheetId="1">'Annual Statement Summary'!$A$1:$G$58</definedName>
    <definedName name="_xlnm.Print_Area" localSheetId="2">'Co-payment Template'!$B$2:$Y$36</definedName>
    <definedName name="_xlnm.Print_Area" localSheetId="0">'Revenue Split'!$B$3:$I$40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6" i="4"/>
  <c r="F9" i="4"/>
  <c r="D34" i="4" l="1"/>
  <c r="G30" i="4" l="1"/>
  <c r="H30" i="4" s="1"/>
  <c r="G28" i="4"/>
  <c r="H28" i="4" s="1"/>
  <c r="G24" i="4"/>
  <c r="G21" i="1" s="1"/>
  <c r="U21" i="1" s="1"/>
  <c r="L17" i="1"/>
  <c r="P17" i="1"/>
  <c r="I17" i="1"/>
  <c r="O17" i="1"/>
  <c r="Q17" i="1"/>
  <c r="F17" i="1"/>
  <c r="E17" i="1"/>
  <c r="D17" i="1"/>
  <c r="G20" i="4"/>
  <c r="G17" i="1" s="1"/>
  <c r="U17" i="1" s="1"/>
  <c r="R16" i="1" s="1"/>
  <c r="G26" i="4"/>
  <c r="H26" i="4" s="1"/>
  <c r="G22" i="4"/>
  <c r="G19" i="1" s="1"/>
  <c r="U19" i="1" s="1"/>
  <c r="G18" i="4"/>
  <c r="H18" i="4" s="1"/>
  <c r="G10" i="3"/>
  <c r="S13" i="1"/>
  <c r="U33" i="1"/>
  <c r="I15" i="1"/>
  <c r="F15" i="1"/>
  <c r="E15" i="1"/>
  <c r="I19" i="1"/>
  <c r="O19" i="1"/>
  <c r="F19" i="1"/>
  <c r="E19" i="1"/>
  <c r="I21" i="1"/>
  <c r="O21" i="1"/>
  <c r="F21" i="1"/>
  <c r="E21" i="1"/>
  <c r="I23" i="1"/>
  <c r="O23" i="1" s="1"/>
  <c r="F23" i="1"/>
  <c r="E23" i="1"/>
  <c r="I25" i="1"/>
  <c r="O25" i="1"/>
  <c r="F25" i="1"/>
  <c r="E25" i="1"/>
  <c r="I27" i="1"/>
  <c r="O27" i="1"/>
  <c r="F27" i="1"/>
  <c r="E27" i="1"/>
  <c r="L15" i="1"/>
  <c r="P15" i="1"/>
  <c r="L19" i="1"/>
  <c r="P19" i="1"/>
  <c r="Q19" i="1" s="1"/>
  <c r="L21" i="1"/>
  <c r="L23" i="1"/>
  <c r="L25" i="1"/>
  <c r="P25" i="1"/>
  <c r="Q25" i="1" s="1"/>
  <c r="L27" i="1"/>
  <c r="P27" i="1"/>
  <c r="Q27" i="1" s="1"/>
  <c r="D15" i="1"/>
  <c r="D19" i="1"/>
  <c r="D21" i="1"/>
  <c r="D23" i="1"/>
  <c r="D25" i="1"/>
  <c r="D27" i="1"/>
  <c r="E32" i="4"/>
  <c r="D32" i="4"/>
  <c r="R33" i="1"/>
  <c r="P23" i="1"/>
  <c r="P21" i="1"/>
  <c r="Q21" i="1"/>
  <c r="G27" i="1" l="1"/>
  <c r="U27" i="1" s="1"/>
  <c r="S25" i="1"/>
  <c r="T25" i="1" s="1"/>
  <c r="G25" i="1"/>
  <c r="U25" i="1" s="1"/>
  <c r="W21" i="1"/>
  <c r="H24" i="4"/>
  <c r="H22" i="4"/>
  <c r="G15" i="1"/>
  <c r="U15" i="1" s="1"/>
  <c r="R14" i="1" s="1"/>
  <c r="S15" i="1"/>
  <c r="T15" i="1" s="1"/>
  <c r="X25" i="1"/>
  <c r="O15" i="1"/>
  <c r="Q15" i="1"/>
  <c r="S27" i="1"/>
  <c r="T27" i="1" s="1"/>
  <c r="X27" i="1" s="1"/>
  <c r="Q23" i="1"/>
  <c r="S21" i="1"/>
  <c r="T21" i="1" s="1"/>
  <c r="X21" i="1" s="1"/>
  <c r="S19" i="1"/>
  <c r="T19" i="1" s="1"/>
  <c r="X19" i="1" s="1"/>
  <c r="S17" i="1"/>
  <c r="S16" i="1" s="1"/>
  <c r="G23" i="1"/>
  <c r="U23" i="1" s="1"/>
  <c r="W23" i="1"/>
  <c r="W17" i="1"/>
  <c r="H20" i="4"/>
  <c r="H32" i="4" s="1"/>
  <c r="H35" i="4" s="1"/>
  <c r="H36" i="4" s="1"/>
  <c r="H38" i="4" s="1"/>
  <c r="D10" i="3" s="1"/>
  <c r="W27" i="1"/>
  <c r="S14" i="1"/>
  <c r="W19" i="1"/>
  <c r="W15" i="1"/>
  <c r="X15" i="1"/>
  <c r="S23" i="1"/>
  <c r="T23" i="1" s="1"/>
  <c r="X23" i="1" s="1"/>
  <c r="W25" i="1" l="1"/>
  <c r="X31" i="1"/>
  <c r="T17" i="1"/>
  <c r="X17" i="1" s="1"/>
  <c r="I28" i="1"/>
  <c r="F32" i="3"/>
  <c r="E54" i="3" s="1"/>
  <c r="F31" i="3"/>
  <c r="E53" i="3" s="1"/>
  <c r="W31" i="1"/>
  <c r="W32" i="1" s="1"/>
  <c r="H39" i="4"/>
  <c r="E10" i="3" s="1"/>
  <c r="F24" i="3" s="1"/>
  <c r="E46" i="3" s="1"/>
  <c r="W30" i="1"/>
  <c r="F27" i="3"/>
  <c r="E49" i="3" s="1"/>
  <c r="X30" i="1"/>
  <c r="S28" i="1"/>
  <c r="F29" i="3" l="1"/>
  <c r="E51" i="3" s="1"/>
  <c r="F20" i="3"/>
  <c r="E42" i="3" s="1"/>
  <c r="F30" i="3"/>
  <c r="E52" i="3" s="1"/>
  <c r="F26" i="3"/>
  <c r="E48" i="3" s="1"/>
  <c r="F28" i="3"/>
  <c r="E50" i="3" s="1"/>
  <c r="F21" i="3"/>
  <c r="E43" i="3" s="1"/>
  <c r="Y30" i="1"/>
  <c r="F33" i="3"/>
  <c r="E55" i="3" s="1"/>
  <c r="E59" i="3" s="1"/>
  <c r="W33" i="1" s="1"/>
  <c r="I35" i="1" s="1"/>
  <c r="F18" i="3"/>
  <c r="E40" i="3" s="1"/>
  <c r="F23" i="3"/>
  <c r="E45" i="3" s="1"/>
  <c r="F25" i="3"/>
  <c r="E47" i="3" s="1"/>
  <c r="F22" i="3"/>
  <c r="E44" i="3" s="1"/>
  <c r="F17" i="3"/>
  <c r="E39" i="3" s="1"/>
  <c r="F19" i="3"/>
  <c r="E41" i="3" s="1"/>
</calcChain>
</file>

<file path=xl/sharedStrings.xml><?xml version="1.0" encoding="utf-8"?>
<sst xmlns="http://schemas.openxmlformats.org/spreadsheetml/2006/main" count="111" uniqueCount="82">
  <si>
    <t>Co-payment adjustment template - Option B</t>
  </si>
  <si>
    <t>.</t>
  </si>
  <si>
    <t>Practice Name or Identifier</t>
  </si>
  <si>
    <t>Co-payment/capitation revenue split calculation</t>
  </si>
  <si>
    <t>Practice to enter values shown in red only:</t>
  </si>
  <si>
    <t>Current enrolled patient numbers by age group</t>
  </si>
  <si>
    <t>Actual total annual standard medical consultations</t>
  </si>
  <si>
    <t>Actual total annual capitation revenue (exclusive of GST)</t>
  </si>
  <si>
    <t>Age group</t>
  </si>
  <si>
    <t>Enrolled patients in each category *</t>
  </si>
  <si>
    <t>Annual standard medical consultations  **</t>
  </si>
  <si>
    <t>Annual co-payment revenue (excl GST)</t>
  </si>
  <si>
    <t>Under 6 years</t>
  </si>
  <si>
    <t>6 to 13 years</t>
  </si>
  <si>
    <t>14 to 17 years</t>
  </si>
  <si>
    <t>18 to 24 years</t>
  </si>
  <si>
    <t>25 to 44 years</t>
  </si>
  <si>
    <t>45 to 64 years</t>
  </si>
  <si>
    <t>65 years +</t>
  </si>
  <si>
    <t>Totals</t>
  </si>
  <si>
    <t>Annual capitation revenue (excluding GST) ***</t>
  </si>
  <si>
    <t>Annual co-payment revenue (excluding GST)</t>
  </si>
  <si>
    <t>Annual total revenue (excluding GST)</t>
  </si>
  <si>
    <t>Percentage annual capitation revenue</t>
  </si>
  <si>
    <t>Percentage annual co-payment revenue</t>
  </si>
  <si>
    <t>NOTES</t>
  </si>
  <si>
    <t>*  For practices that have opted in to the CSC reduced fees initiative exclude patients over 13 with a Community Services Card.</t>
  </si>
  <si>
    <t>** This is the combined total for all enrolled patients counted in the previous column.</t>
  </si>
  <si>
    <t>*** For practices that have opted into the CSC reduced fees initiative only include first contact funding for non-CSC patients.</t>
  </si>
  <si>
    <t>Annual statement for alternative practice composition</t>
  </si>
  <si>
    <t>You do not need to enter values in this sheet</t>
  </si>
  <si>
    <t>The capitation and co-payment revenue shares below are linked to the previous sheet (DO NOT ALTER THESE)</t>
  </si>
  <si>
    <t>Capitation revenue share</t>
  </si>
  <si>
    <t>Co-payment revenue split</t>
  </si>
  <si>
    <t>Year to be applied</t>
  </si>
  <si>
    <t>Total fee adjustment</t>
  </si>
  <si>
    <t>FFT capitation adjustment</t>
  </si>
  <si>
    <t>Co-payment adjustment</t>
  </si>
  <si>
    <t>(DERIVED)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</si>
  <si>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</si>
  <si>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</si>
  <si>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</si>
  <si>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</si>
  <si>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</si>
  <si>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</si>
  <si>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</si>
  <si>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</si>
  <si>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</si>
  <si>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</si>
  <si>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</si>
  <si>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</si>
  <si>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</si>
  <si>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</si>
  <si>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 xml:space="preserve">The values in red are the </t>
    </r>
    <r>
      <rPr>
        <b/>
        <sz val="12"/>
        <color indexed="8"/>
        <rFont val="Arial"/>
        <family val="2"/>
      </rPr>
      <t xml:space="preserve">annual statement </t>
    </r>
    <r>
      <rPr>
        <b/>
        <sz val="12"/>
        <color indexed="10"/>
        <rFont val="Arial"/>
        <family val="2"/>
      </rPr>
      <t>figures for the co-payment adjustment. They feed automatically through to the next sheet ('co-payment template')</t>
    </r>
  </si>
  <si>
    <t>Current Year</t>
  </si>
  <si>
    <t>Co-payment adjustment for current year</t>
  </si>
  <si>
    <t>Set to current year &gt;</t>
  </si>
  <si>
    <r>
      <t xml:space="preserve">TEMPLATE TO ADJUST FEE'S BY AGE GROUP - </t>
    </r>
    <r>
      <rPr>
        <b/>
        <sz val="15.3"/>
        <color indexed="13"/>
        <rFont val="Arial"/>
        <family val="2"/>
      </rPr>
      <t>CHECKS AGAINST CO-PAYMENT ANNUAL STATEMENT</t>
    </r>
  </si>
  <si>
    <r>
      <t xml:space="preserve">Practice to adjust $ </t>
    </r>
    <r>
      <rPr>
        <b/>
        <sz val="14"/>
        <color indexed="9"/>
        <rFont val="Arial"/>
        <family val="2"/>
      </rPr>
      <t>OR</t>
    </r>
    <r>
      <rPr>
        <b/>
        <sz val="14"/>
        <color indexed="52"/>
        <rFont val="Arial"/>
        <family val="2"/>
      </rPr>
      <t xml:space="preserve"> % change to co-payment fee (up or down) shown in </t>
    </r>
    <r>
      <rPr>
        <b/>
        <sz val="14"/>
        <color indexed="48"/>
        <rFont val="Arial"/>
        <family val="2"/>
      </rPr>
      <t xml:space="preserve">blue </t>
    </r>
    <r>
      <rPr>
        <b/>
        <sz val="14"/>
        <color indexed="52"/>
        <rFont val="Arial"/>
        <family val="2"/>
      </rPr>
      <t>(using toggles)</t>
    </r>
  </si>
  <si>
    <r>
      <t>NOTE</t>
    </r>
    <r>
      <rPr>
        <b/>
        <sz val="14"/>
        <color indexed="52"/>
        <rFont val="Arial"/>
        <family val="2"/>
      </rPr>
      <t>: You can change the co-payment fee by % or $, but not both</t>
    </r>
  </si>
  <si>
    <r>
      <t xml:space="preserve">Fee information in </t>
    </r>
    <r>
      <rPr>
        <b/>
        <sz val="14"/>
        <color indexed="23"/>
        <rFont val="Arial"/>
        <family val="2"/>
      </rPr>
      <t>grey</t>
    </r>
    <r>
      <rPr>
        <b/>
        <sz val="14"/>
        <color indexed="52"/>
        <rFont val="Arial"/>
        <family val="2"/>
      </rPr>
      <t xml:space="preserve"> below will update automatically from "revenue split" sheet</t>
    </r>
  </si>
  <si>
    <t>Negative co-payment changes for under 13 year age group do not count towards total co-payment adjustment</t>
  </si>
  <si>
    <t xml:space="preserve">Rate of GST applying to new copayment = </t>
  </si>
  <si>
    <t>Number of patients in this category</t>
  </si>
  <si>
    <t>Annual standard medical consultations</t>
  </si>
  <si>
    <t>Co-payment change ($) (incl GST)</t>
  </si>
  <si>
    <t>Co-payment change (%) (incl GST)</t>
  </si>
  <si>
    <t>Proposed co-payment fee (excl GST)</t>
  </si>
  <si>
    <t>Age group co-payment change (excl GST)</t>
  </si>
  <si>
    <t>Pre increase co-payment revenue (excl GST)</t>
  </si>
  <si>
    <t>Proposed co-payment revenue (excl GST)</t>
  </si>
  <si>
    <t>Current</t>
  </si>
  <si>
    <t>Proposed</t>
  </si>
  <si>
    <t>Total co-payment revenue (excluding GST)</t>
  </si>
  <si>
    <t>% change in annual co-payment revenue</t>
  </si>
  <si>
    <t>Co-payment annual statement</t>
  </si>
  <si>
    <t>RESULT OF CHANGES:</t>
  </si>
  <si>
    <t>2022/23</t>
  </si>
  <si>
    <t>2023/24</t>
  </si>
  <si>
    <t>30th June 2024 fee (co-payment) (excl GST)</t>
  </si>
  <si>
    <t>2024/25</t>
  </si>
  <si>
    <t>Rate of GST applying on 30th June 2024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</si>
</sst>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0.0%"/>
    <numFmt numFmtId="166" formatCode="[$$-1409]#,##0.00"/>
    <numFmt numFmtId="167" formatCode="[$$-1409]#,##0"/>
    <numFmt numFmtId="168" formatCode="0.0"/>
    <numFmt numFmtId="169" formatCode="&quot;$&quot;#,##0"/>
  </numFmts>
  <fonts count="4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3"/>
      <name val="Arial"/>
      <family val="2"/>
    </font>
    <font>
      <b/>
      <sz val="12"/>
      <color indexed="53"/>
      <name val="Arial"/>
      <family val="2"/>
    </font>
    <font>
      <b/>
      <sz val="18"/>
      <color indexed="9"/>
      <name val="Arial"/>
      <family val="2"/>
    </font>
    <font>
      <b/>
      <sz val="15.3"/>
      <color indexed="13"/>
      <name val="Arial"/>
      <family val="2"/>
    </font>
    <font>
      <sz val="14"/>
      <color indexed="13"/>
      <name val="Arial"/>
      <family val="2"/>
    </font>
    <font>
      <b/>
      <sz val="14"/>
      <color indexed="52"/>
      <name val="Arial"/>
      <family val="2"/>
    </font>
    <font>
      <sz val="12"/>
      <color indexed="52"/>
      <name val="Arial"/>
      <family val="2"/>
    </font>
    <font>
      <b/>
      <sz val="16"/>
      <color indexed="52"/>
      <name val="Arial"/>
      <family val="2"/>
    </font>
    <font>
      <b/>
      <sz val="11.9"/>
      <color indexed="10"/>
      <name val="Arial"/>
      <family val="2"/>
    </font>
    <font>
      <b/>
      <sz val="14"/>
      <color indexed="4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4"/>
      <color indexed="23"/>
      <name val="Arial"/>
      <family val="2"/>
    </font>
    <font>
      <b/>
      <sz val="14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8"/>
      <color indexed="22"/>
      <name val="Arial"/>
      <family val="2"/>
    </font>
    <font>
      <sz val="10"/>
      <color indexed="6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4"/>
      <name val="Arial"/>
      <family val="2"/>
    </font>
    <font>
      <sz val="12"/>
      <color indexed="12"/>
      <name val="Arial"/>
      <family val="2"/>
    </font>
    <font>
      <b/>
      <u/>
      <sz val="12"/>
      <name val="Arial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1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39" fillId="9" borderId="0" applyNumberFormat="0" applyBorder="0" applyAlignment="0" applyProtection="0"/>
    <xf numFmtId="0" fontId="40" fillId="10" borderId="21" applyNumberFormat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5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/>
    <xf numFmtId="0" fontId="2" fillId="4" borderId="0" xfId="0" applyFont="1" applyFill="1"/>
    <xf numFmtId="0" fontId="0" fillId="4" borderId="0" xfId="0" applyFill="1"/>
    <xf numFmtId="0" fontId="14" fillId="6" borderId="0" xfId="0" applyFont="1" applyFill="1"/>
    <xf numFmtId="0" fontId="18" fillId="6" borderId="0" xfId="0" applyFont="1" applyFill="1"/>
    <xf numFmtId="0" fontId="19" fillId="6" borderId="0" xfId="0" applyFont="1" applyFill="1"/>
    <xf numFmtId="0" fontId="10" fillId="6" borderId="0" xfId="0" applyFont="1" applyFill="1"/>
    <xf numFmtId="0" fontId="20" fillId="6" borderId="0" xfId="0" applyFont="1" applyFill="1"/>
    <xf numFmtId="0" fontId="8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21" fillId="6" borderId="0" xfId="0" applyFont="1" applyFill="1"/>
    <xf numFmtId="0" fontId="22" fillId="6" borderId="0" xfId="0" applyFont="1" applyFill="1"/>
    <xf numFmtId="0" fontId="5" fillId="2" borderId="15" xfId="0" applyFont="1" applyFill="1" applyBorder="1" applyAlignment="1">
      <alignment horizontal="center"/>
    </xf>
    <xf numFmtId="0" fontId="25" fillId="2" borderId="0" xfId="0" applyFont="1" applyFill="1"/>
    <xf numFmtId="0" fontId="26" fillId="4" borderId="15" xfId="0" applyFont="1" applyFill="1" applyBorder="1" applyAlignment="1">
      <alignment horizontal="center" vertical="center"/>
    </xf>
    <xf numFmtId="166" fontId="26" fillId="4" borderId="3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166" fontId="27" fillId="3" borderId="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3" fontId="26" fillId="4" borderId="15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166" fontId="26" fillId="3" borderId="0" xfId="0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horizontal="left"/>
    </xf>
    <xf numFmtId="166" fontId="10" fillId="3" borderId="0" xfId="0" applyNumberFormat="1" applyFont="1" applyFill="1" applyAlignment="1">
      <alignment horizontal="left" vertical="center"/>
    </xf>
    <xf numFmtId="0" fontId="33" fillId="4" borderId="1" xfId="0" applyFont="1" applyFill="1" applyBorder="1" applyAlignment="1" applyProtection="1">
      <alignment horizontal="center" vertical="center"/>
      <protection locked="0"/>
    </xf>
    <xf numFmtId="166" fontId="13" fillId="4" borderId="5" xfId="0" applyNumberFormat="1" applyFont="1" applyFill="1" applyBorder="1" applyAlignment="1">
      <alignment horizontal="center" vertical="center"/>
    </xf>
    <xf numFmtId="165" fontId="5" fillId="2" borderId="15" xfId="3" applyNumberFormat="1" applyFont="1" applyFill="1" applyBorder="1" applyAlignment="1">
      <alignment horizontal="center"/>
    </xf>
    <xf numFmtId="165" fontId="5" fillId="2" borderId="6" xfId="3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left" vertical="center" wrapText="1"/>
    </xf>
    <xf numFmtId="0" fontId="0" fillId="2" borderId="18" xfId="0" applyFill="1" applyBorder="1"/>
    <xf numFmtId="10" fontId="10" fillId="2" borderId="15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34" fillId="2" borderId="0" xfId="0" applyFont="1" applyFill="1"/>
    <xf numFmtId="0" fontId="5" fillId="8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6" fontId="6" fillId="0" borderId="3" xfId="0" applyNumberFormat="1" applyFont="1" applyBorder="1" applyAlignment="1">
      <alignment horizontal="center" vertical="center"/>
    </xf>
    <xf numFmtId="166" fontId="27" fillId="3" borderId="0" xfId="0" applyNumberFormat="1" applyFont="1" applyFill="1" applyAlignment="1">
      <alignment horizontal="center" vertical="center"/>
    </xf>
    <xf numFmtId="165" fontId="19" fillId="6" borderId="0" xfId="0" applyNumberFormat="1" applyFont="1" applyFill="1" applyAlignment="1">
      <alignment horizontal="left"/>
    </xf>
    <xf numFmtId="3" fontId="6" fillId="4" borderId="3" xfId="0" applyNumberFormat="1" applyFont="1" applyFill="1" applyBorder="1" applyAlignment="1">
      <alignment horizontal="center" vertical="center"/>
    </xf>
    <xf numFmtId="0" fontId="41" fillId="11" borderId="0" xfId="0" applyFont="1" applyFill="1"/>
    <xf numFmtId="0" fontId="0" fillId="11" borderId="0" xfId="0" applyFill="1"/>
    <xf numFmtId="0" fontId="4" fillId="5" borderId="0" xfId="0" applyFont="1" applyFill="1" applyAlignment="1">
      <alignment horizontal="left" vertical="top" wrapText="1"/>
    </xf>
    <xf numFmtId="0" fontId="9" fillId="5" borderId="16" xfId="0" applyFont="1" applyFill="1" applyBorder="1" applyAlignment="1">
      <alignment horizontal="left" vertical="top"/>
    </xf>
    <xf numFmtId="0" fontId="9" fillId="5" borderId="16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42" fillId="11" borderId="0" xfId="0" applyFont="1" applyFill="1"/>
    <xf numFmtId="10" fontId="2" fillId="2" borderId="0" xfId="0" applyNumberFormat="1" applyFont="1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10" fontId="10" fillId="2" borderId="14" xfId="0" applyNumberFormat="1" applyFont="1" applyFill="1" applyBorder="1" applyAlignment="1">
      <alignment horizontal="center"/>
    </xf>
    <xf numFmtId="10" fontId="13" fillId="4" borderId="20" xfId="3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3" fontId="26" fillId="3" borderId="0" xfId="0" applyNumberFormat="1" applyFont="1" applyFill="1" applyAlignment="1">
      <alignment horizontal="left" vertical="center"/>
    </xf>
    <xf numFmtId="10" fontId="30" fillId="3" borderId="0" xfId="0" applyNumberFormat="1" applyFont="1" applyFill="1" applyAlignment="1">
      <alignment horizontal="left" vertical="center"/>
    </xf>
    <xf numFmtId="166" fontId="0" fillId="3" borderId="0" xfId="0" applyNumberFormat="1" applyFill="1" applyAlignment="1">
      <alignment horizontal="left" vertical="center"/>
    </xf>
    <xf numFmtId="0" fontId="33" fillId="5" borderId="0" xfId="0" applyFont="1" applyFill="1" applyAlignment="1">
      <alignment horizontal="left" vertical="center"/>
    </xf>
    <xf numFmtId="166" fontId="9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5" borderId="0" xfId="3" applyNumberFormat="1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166" fontId="4" fillId="3" borderId="0" xfId="0" applyNumberFormat="1" applyFont="1" applyFill="1" applyAlignment="1">
      <alignment horizontal="left" vertical="center"/>
    </xf>
    <xf numFmtId="10" fontId="7" fillId="3" borderId="0" xfId="0" applyNumberFormat="1" applyFont="1" applyFill="1" applyAlignment="1">
      <alignment horizontal="left" vertical="center"/>
    </xf>
    <xf numFmtId="10" fontId="4" fillId="3" borderId="0" xfId="3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168" fontId="0" fillId="3" borderId="0" xfId="0" applyNumberFormat="1" applyFill="1"/>
    <xf numFmtId="166" fontId="5" fillId="4" borderId="3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16" xfId="0" applyNumberFormat="1" applyFont="1" applyFill="1" applyBorder="1" applyAlignment="1">
      <alignment horizontal="center" vertical="center"/>
    </xf>
    <xf numFmtId="169" fontId="5" fillId="5" borderId="0" xfId="0" applyNumberFormat="1" applyFont="1" applyFill="1" applyAlignment="1">
      <alignment horizontal="center" vertical="center"/>
    </xf>
    <xf numFmtId="10" fontId="5" fillId="5" borderId="0" xfId="0" applyNumberFormat="1" applyFont="1" applyFill="1" applyAlignment="1">
      <alignment horizontal="center" vertical="center"/>
    </xf>
    <xf numFmtId="167" fontId="37" fillId="5" borderId="0" xfId="0" applyNumberFormat="1" applyFont="1" applyFill="1" applyAlignment="1">
      <alignment horizontal="left" vertical="center"/>
    </xf>
    <xf numFmtId="10" fontId="5" fillId="3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10" fontId="10" fillId="3" borderId="0" xfId="3" applyNumberFormat="1" applyFont="1" applyFill="1" applyBorder="1" applyAlignment="1">
      <alignment horizontal="center" vertical="center"/>
    </xf>
    <xf numFmtId="3" fontId="3" fillId="12" borderId="3" xfId="0" applyNumberFormat="1" applyFont="1" applyFill="1" applyBorder="1" applyAlignment="1" applyProtection="1">
      <alignment horizontal="center" vertical="center"/>
      <protection locked="0"/>
    </xf>
    <xf numFmtId="166" fontId="3" fillId="13" borderId="3" xfId="0" applyNumberFormat="1" applyFont="1" applyFill="1" applyBorder="1" applyAlignment="1" applyProtection="1">
      <alignment horizontal="center" vertical="center"/>
      <protection locked="0"/>
    </xf>
    <xf numFmtId="10" fontId="0" fillId="2" borderId="0" xfId="0" applyNumberFormat="1" applyFill="1"/>
    <xf numFmtId="0" fontId="38" fillId="2" borderId="0" xfId="0" applyFont="1" applyFill="1"/>
    <xf numFmtId="0" fontId="2" fillId="0" borderId="0" xfId="0" applyFont="1"/>
    <xf numFmtId="164" fontId="44" fillId="13" borderId="21" xfId="2" applyNumberFormat="1" applyFont="1" applyFill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/>
    </xf>
    <xf numFmtId="10" fontId="2" fillId="2" borderId="17" xfId="0" applyNumberFormat="1" applyFont="1" applyFill="1" applyBorder="1" applyAlignment="1">
      <alignment horizontal="center"/>
    </xf>
    <xf numFmtId="10" fontId="10" fillId="2" borderId="17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8" fontId="1" fillId="3" borderId="1" xfId="0" applyNumberFormat="1" applyFont="1" applyFill="1" applyBorder="1" applyAlignment="1">
      <alignment horizontal="center" vertical="center"/>
    </xf>
    <xf numFmtId="9" fontId="25" fillId="2" borderId="0" xfId="0" applyNumberFormat="1" applyFont="1" applyFill="1"/>
    <xf numFmtId="165" fontId="31" fillId="5" borderId="0" xfId="3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45" fillId="14" borderId="0" xfId="0" applyFont="1" applyFill="1" applyAlignment="1">
      <alignment horizontal="center" vertical="center"/>
    </xf>
    <xf numFmtId="0" fontId="43" fillId="9" borderId="0" xfId="1" applyFont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top"/>
    </xf>
    <xf numFmtId="0" fontId="11" fillId="7" borderId="0" xfId="0" applyFont="1" applyFill="1" applyAlignment="1">
      <alignment horizontal="center"/>
    </xf>
    <xf numFmtId="0" fontId="0" fillId="0" borderId="0" xfId="0"/>
    <xf numFmtId="0" fontId="9" fillId="5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166" fontId="10" fillId="3" borderId="0" xfId="0" applyNumberFormat="1" applyFont="1" applyFill="1" applyAlignment="1">
      <alignment horizontal="center" vertical="center" wrapText="1"/>
    </xf>
  </cellXfs>
  <cellStyles count="4">
    <cellStyle name="60% - Accent5" xfId="1" builtinId="48"/>
    <cellStyle name="Calculation" xfId="2" builtinId="22"/>
    <cellStyle name="Normal" xfId="0" builtinId="0"/>
    <cellStyle name="Percent" xfId="3" builtinId="5"/>
  </cellStyles>
  <dxfs count="7"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31"/>
        </patternFill>
      </fill>
      <border>
        <left/>
        <right/>
        <top/>
        <bottom/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Invisible" pivot="0" table="0" count="0" xr9:uid="{3F697DF0-A359-4175-9B78-695E3983DE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15" fmlaLink="#REF!" max="401" page="10" val="201"/>
</file>

<file path=xl/ctrlProps/ctrlProp10.xml><?xml version="1.0" encoding="utf-8"?>
<formControlPr xmlns="http://schemas.microsoft.com/office/spreadsheetml/2009/9/main" objectType="Spin" dx="15" fmlaLink="#REF!" max="401" page="10" val="201"/>
</file>

<file path=xl/ctrlProps/ctrlProp11.xml><?xml version="1.0" encoding="utf-8"?>
<formControlPr xmlns="http://schemas.microsoft.com/office/spreadsheetml/2009/9/main" objectType="Spin" dx="15" fmlaLink="#REF!" max="401" page="10" val="201"/>
</file>

<file path=xl/ctrlProps/ctrlProp12.xml><?xml version="1.0" encoding="utf-8"?>
<formControlPr xmlns="http://schemas.microsoft.com/office/spreadsheetml/2009/9/main" objectType="Spin" dx="15" fmlaLink="#REF!" max="401" page="10" val="201"/>
</file>

<file path=xl/ctrlProps/ctrlProp13.xml><?xml version="1.0" encoding="utf-8"?>
<formControlPr xmlns="http://schemas.microsoft.com/office/spreadsheetml/2009/9/main" objectType="Spin" dx="15" fmlaLink="#REF!" max="401" page="10" val="201"/>
</file>

<file path=xl/ctrlProps/ctrlProp14.xml><?xml version="1.0" encoding="utf-8"?>
<formControlPr xmlns="http://schemas.microsoft.com/office/spreadsheetml/2009/9/main" objectType="Spin" dx="15" fmlaLink="#REF!" max="401" page="10" val="206"/>
</file>

<file path=xl/ctrlProps/ctrlProp15.xml><?xml version="1.0" encoding="utf-8"?>
<formControlPr xmlns="http://schemas.microsoft.com/office/spreadsheetml/2009/9/main" objectType="Spin" dx="15" fmlaLink="#REF!" max="401" page="10" val="201"/>
</file>

<file path=xl/ctrlProps/ctrlProp16.xml><?xml version="1.0" encoding="utf-8"?>
<formControlPr xmlns="http://schemas.microsoft.com/office/spreadsheetml/2009/9/main" objectType="Spin" dx="15" fmlaLink="#REF!" max="401" page="10" val="201"/>
</file>

<file path=xl/ctrlProps/ctrlProp17.xml><?xml version="1.0" encoding="utf-8"?>
<formControlPr xmlns="http://schemas.microsoft.com/office/spreadsheetml/2009/9/main" objectType="Spin" dx="15" fmlaLink="$J$15" max="2000" page="10" val="1000"/>
</file>

<file path=xl/ctrlProps/ctrlProp18.xml><?xml version="1.0" encoding="utf-8"?>
<formControlPr xmlns="http://schemas.microsoft.com/office/spreadsheetml/2009/9/main" objectType="Spin" dx="15" fmlaLink="$J$19" max="2000" page="10" val="1000"/>
</file>

<file path=xl/ctrlProps/ctrlProp19.xml><?xml version="1.0" encoding="utf-8"?>
<formControlPr xmlns="http://schemas.microsoft.com/office/spreadsheetml/2009/9/main" objectType="Spin" dx="15" fmlaLink="$J$21" max="2000" page="10" val="1000"/>
</file>

<file path=xl/ctrlProps/ctrlProp2.xml><?xml version="1.0" encoding="utf-8"?>
<formControlPr xmlns="http://schemas.microsoft.com/office/spreadsheetml/2009/9/main" objectType="Spin" dx="15" fmlaLink="#REF!" max="401" page="10" val="201"/>
</file>

<file path=xl/ctrlProps/ctrlProp20.xml><?xml version="1.0" encoding="utf-8"?>
<formControlPr xmlns="http://schemas.microsoft.com/office/spreadsheetml/2009/9/main" objectType="Spin" dx="15" fmlaLink="$J$23" max="2000" page="10" val="1000"/>
</file>

<file path=xl/ctrlProps/ctrlProp21.xml><?xml version="1.0" encoding="utf-8"?>
<formControlPr xmlns="http://schemas.microsoft.com/office/spreadsheetml/2009/9/main" objectType="Spin" dx="15" fmlaLink="$J$25" max="2000" page="10" val="1000"/>
</file>

<file path=xl/ctrlProps/ctrlProp22.xml><?xml version="1.0" encoding="utf-8"?>
<formControlPr xmlns="http://schemas.microsoft.com/office/spreadsheetml/2009/9/main" objectType="Spin" dx="15" fmlaLink="$J$27" max="2000" page="10" val="1000"/>
</file>

<file path=xl/ctrlProps/ctrlProp23.xml><?xml version="1.0" encoding="utf-8"?>
<formControlPr xmlns="http://schemas.microsoft.com/office/spreadsheetml/2009/9/main" objectType="Spin" dx="15" fmlaLink="$M$15" max="2000" page="10" val="1000"/>
</file>

<file path=xl/ctrlProps/ctrlProp24.xml><?xml version="1.0" encoding="utf-8"?>
<formControlPr xmlns="http://schemas.microsoft.com/office/spreadsheetml/2009/9/main" objectType="Spin" dx="15" fmlaLink="$M$23" max="2000" page="10" val="1000"/>
</file>

<file path=xl/ctrlProps/ctrlProp25.xml><?xml version="1.0" encoding="utf-8"?>
<formControlPr xmlns="http://schemas.microsoft.com/office/spreadsheetml/2009/9/main" objectType="Spin" dx="15" fmlaLink="$M$21" max="2000" page="10" val="1000"/>
</file>

<file path=xl/ctrlProps/ctrlProp26.xml><?xml version="1.0" encoding="utf-8"?>
<formControlPr xmlns="http://schemas.microsoft.com/office/spreadsheetml/2009/9/main" objectType="Spin" dx="15" fmlaLink="$M$19" max="2000" page="10" val="1000"/>
</file>

<file path=xl/ctrlProps/ctrlProp27.xml><?xml version="1.0" encoding="utf-8"?>
<formControlPr xmlns="http://schemas.microsoft.com/office/spreadsheetml/2009/9/main" objectType="Spin" dx="15" fmlaLink="$M$25" max="2000" page="10" val="1000"/>
</file>

<file path=xl/ctrlProps/ctrlProp28.xml><?xml version="1.0" encoding="utf-8"?>
<formControlPr xmlns="http://schemas.microsoft.com/office/spreadsheetml/2009/9/main" objectType="Spin" dx="15" fmlaLink="$M$27" max="2000" page="10" val="1000"/>
</file>

<file path=xl/ctrlProps/ctrlProp29.xml><?xml version="1.0" encoding="utf-8"?>
<formControlPr xmlns="http://schemas.microsoft.com/office/spreadsheetml/2009/9/main" objectType="Spin" dx="15" fmlaLink="$J$19" max="2000" page="10" val="1000"/>
</file>

<file path=xl/ctrlProps/ctrlProp3.xml><?xml version="1.0" encoding="utf-8"?>
<formControlPr xmlns="http://schemas.microsoft.com/office/spreadsheetml/2009/9/main" objectType="Spin" dx="15" fmlaLink="#REF!" max="401" page="10" val="201"/>
</file>

<file path=xl/ctrlProps/ctrlProp30.xml><?xml version="1.0" encoding="utf-8"?>
<formControlPr xmlns="http://schemas.microsoft.com/office/spreadsheetml/2009/9/main" objectType="Spin" dx="15" fmlaLink="$M$19" max="2000" page="10" val="1000"/>
</file>

<file path=xl/ctrlProps/ctrlProp31.xml><?xml version="1.0" encoding="utf-8"?>
<formControlPr xmlns="http://schemas.microsoft.com/office/spreadsheetml/2009/9/main" objectType="Spin" dx="15" fmlaLink="$J$17" max="2000" page="10" val="1000"/>
</file>

<file path=xl/ctrlProps/ctrlProp32.xml><?xml version="1.0" encoding="utf-8"?>
<formControlPr xmlns="http://schemas.microsoft.com/office/spreadsheetml/2009/9/main" objectType="Spin" dx="15" fmlaLink="$M$15" max="2000" page="10" val="1000"/>
</file>

<file path=xl/ctrlProps/ctrlProp33.xml><?xml version="1.0" encoding="utf-8"?>
<formControlPr xmlns="http://schemas.microsoft.com/office/spreadsheetml/2009/9/main" objectType="Spin" dx="15" fmlaLink="$J$17" max="2000" page="10" val="1000"/>
</file>

<file path=xl/ctrlProps/ctrlProp34.xml><?xml version="1.0" encoding="utf-8"?>
<formControlPr xmlns="http://schemas.microsoft.com/office/spreadsheetml/2009/9/main" objectType="Spin" dx="15" fmlaLink="$M$17" max="2000" page="10" val="1000"/>
</file>

<file path=xl/ctrlProps/ctrlProp4.xml><?xml version="1.0" encoding="utf-8"?>
<formControlPr xmlns="http://schemas.microsoft.com/office/spreadsheetml/2009/9/main" objectType="Spin" dx="15" fmlaLink="#REF!" max="401" page="10" val="201"/>
</file>

<file path=xl/ctrlProps/ctrlProp5.xml><?xml version="1.0" encoding="utf-8"?>
<formControlPr xmlns="http://schemas.microsoft.com/office/spreadsheetml/2009/9/main" objectType="Spin" dx="15" fmlaLink="#REF!" max="401" page="10" val="201"/>
</file>

<file path=xl/ctrlProps/ctrlProp6.xml><?xml version="1.0" encoding="utf-8"?>
<formControlPr xmlns="http://schemas.microsoft.com/office/spreadsheetml/2009/9/main" objectType="Spin" dx="15" fmlaLink="#REF!" max="401" page="10" val="201"/>
</file>

<file path=xl/ctrlProps/ctrlProp7.xml><?xml version="1.0" encoding="utf-8"?>
<formControlPr xmlns="http://schemas.microsoft.com/office/spreadsheetml/2009/9/main" objectType="Spin" dx="15" fmlaLink="#REF!" max="401" page="10" val="201"/>
</file>

<file path=xl/ctrlProps/ctrlProp8.xml><?xml version="1.0" encoding="utf-8"?>
<formControlPr xmlns="http://schemas.microsoft.com/office/spreadsheetml/2009/9/main" objectType="Spin" dx="15" fmlaLink="#REF!" max="401" page="10" val="201"/>
</file>

<file path=xl/ctrlProps/ctrlProp9.xml><?xml version="1.0" encoding="utf-8"?>
<formControlPr xmlns="http://schemas.microsoft.com/office/spreadsheetml/2009/9/main" objectType="Spin" dx="15" fmlaLink="#REF!" max="401" page="10" val="20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9525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9525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9525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9525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9525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9525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38100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38100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38100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38100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38100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38100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9525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3225" name="Spinner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38100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3226" name="Spinner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9525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227" name="Spinner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38100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228" name="Spinner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9525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9525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9525</xdr:rowOff>
        </xdr:from>
        <xdr:to>
          <xdr:col>11</xdr:col>
          <xdr:colOff>0</xdr:colOff>
          <xdr:row>25</xdr:row>
          <xdr:rowOff>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9525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9525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0</xdr:rowOff>
        </xdr:from>
        <xdr:to>
          <xdr:col>14</xdr:col>
          <xdr:colOff>0</xdr:colOff>
          <xdr:row>22</xdr:row>
          <xdr:rowOff>304800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20</xdr:row>
          <xdr:rowOff>9525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415" name="Spinner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2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9525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1416" name="Spinner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2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0</xdr:rowOff>
        </xdr:from>
        <xdr:to>
          <xdr:col>14</xdr:col>
          <xdr:colOff>0</xdr:colOff>
          <xdr:row>25</xdr:row>
          <xdr:rowOff>9525</xdr:rowOff>
        </xdr:to>
        <xdr:sp macro="" textlink="">
          <xdr:nvSpPr>
            <xdr:cNvPr id="1418" name="Spinner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2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9525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1420" name="Spinner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2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438" name="Spinner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2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1439" name="Spinner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2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440" name="Spinner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2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1441" name="Spinner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2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442" name="Spinner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2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1443" name="Spinner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2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509"/>
  <sheetViews>
    <sheetView showGridLines="0" tabSelected="1" zoomScale="85" zoomScaleNormal="85" zoomScaleSheetLayoutView="70" workbookViewId="0">
      <selection activeCell="D18" sqref="D18"/>
    </sheetView>
  </sheetViews>
  <sheetFormatPr defaultRowHeight="12.75" x14ac:dyDescent="0.2"/>
  <cols>
    <col min="1" max="1" width="3.5703125" customWidth="1"/>
    <col min="2" max="2" width="2.42578125" customWidth="1"/>
    <col min="3" max="3" width="31" customWidth="1"/>
    <col min="4" max="5" width="29.7109375" customWidth="1"/>
    <col min="6" max="6" width="34.28515625" customWidth="1"/>
    <col min="7" max="8" width="29.7109375" customWidth="1"/>
    <col min="9" max="9" width="2.5703125" customWidth="1"/>
  </cols>
  <sheetData>
    <row r="1" spans="1:30" ht="39.200000000000003" customHeight="1" x14ac:dyDescent="0.2">
      <c r="B1" s="155" t="s">
        <v>0</v>
      </c>
      <c r="C1" s="155"/>
      <c r="D1" s="155"/>
      <c r="E1" s="155"/>
      <c r="F1" s="155"/>
      <c r="G1" s="155"/>
      <c r="H1" s="155"/>
      <c r="I1" s="155"/>
    </row>
    <row r="3" spans="1:30" ht="30.2" customHeight="1" x14ac:dyDescent="0.2">
      <c r="A3" s="148" t="s">
        <v>1</v>
      </c>
      <c r="B3" s="156" t="s">
        <v>2</v>
      </c>
      <c r="C3" s="156"/>
      <c r="D3" s="156"/>
      <c r="E3" s="156"/>
      <c r="F3" s="156"/>
      <c r="G3" s="156"/>
      <c r="H3" s="156"/>
      <c r="I3" s="15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2.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6.45" customHeight="1" x14ac:dyDescent="0.4">
      <c r="A5" s="2"/>
      <c r="B5" s="158" t="s">
        <v>3</v>
      </c>
      <c r="C5" s="159"/>
      <c r="D5" s="159"/>
      <c r="E5" s="159"/>
      <c r="F5" s="159"/>
      <c r="G5" s="159"/>
      <c r="H5" s="159"/>
      <c r="I5" s="15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0.25" x14ac:dyDescent="0.3">
      <c r="A7" s="2"/>
      <c r="B7" s="50"/>
      <c r="C7" s="56" t="s">
        <v>4</v>
      </c>
      <c r="D7" s="51"/>
      <c r="E7" s="51"/>
      <c r="F7" s="50" t="s">
        <v>5</v>
      </c>
      <c r="G7" s="50"/>
      <c r="H7" s="50"/>
      <c r="I7" s="5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x14ac:dyDescent="0.25">
      <c r="A8" s="2"/>
      <c r="B8" s="50"/>
      <c r="C8" s="51"/>
      <c r="D8" s="51"/>
      <c r="E8" s="51"/>
      <c r="F8" s="50" t="s">
        <v>6</v>
      </c>
      <c r="G8" s="50"/>
      <c r="H8" s="50"/>
      <c r="I8" s="5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.75" x14ac:dyDescent="0.25">
      <c r="A9" s="2"/>
      <c r="B9" s="50"/>
      <c r="C9" s="51"/>
      <c r="D9" s="51"/>
      <c r="E9" s="51"/>
      <c r="F9" s="50" t="str">
        <f>"30th June 2024 fee (co-payment) by age group inclusive of GST at "&amp;TEXT(PreviousGSTRate,"#0.0%")</f>
        <v>30th June 2024 fee (co-payment) by age group inclusive of GST at 15.0%</v>
      </c>
      <c r="G9" s="50"/>
      <c r="H9" s="50"/>
      <c r="I9" s="5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x14ac:dyDescent="0.25">
      <c r="A10" s="2"/>
      <c r="B10" s="50"/>
      <c r="C10" s="51"/>
      <c r="D10" s="51"/>
      <c r="E10" s="51"/>
      <c r="F10" s="50" t="s">
        <v>7</v>
      </c>
      <c r="G10" s="50"/>
      <c r="H10" s="50"/>
      <c r="I10" s="5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0.5" customHeight="1" x14ac:dyDescent="0.2">
      <c r="A11" s="2"/>
      <c r="B11" s="51"/>
      <c r="C11" s="51"/>
      <c r="D11" s="51"/>
      <c r="E11" s="51"/>
      <c r="F11" s="51"/>
      <c r="G11" s="51"/>
      <c r="H11" s="51"/>
      <c r="I11" s="5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3.2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4.7" customHeight="1" x14ac:dyDescent="0.2">
      <c r="A13" s="2"/>
      <c r="B13" s="44"/>
      <c r="C13" s="4"/>
      <c r="D13" s="4"/>
      <c r="E13" s="4"/>
      <c r="F13" s="4"/>
      <c r="G13" s="4"/>
      <c r="H13" s="4"/>
      <c r="I13" s="4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0.75" customHeight="1" x14ac:dyDescent="0.2">
      <c r="A14" s="2"/>
      <c r="B14" s="44"/>
      <c r="C14" s="6"/>
      <c r="D14" s="6"/>
      <c r="E14" s="6"/>
      <c r="F14" s="6"/>
      <c r="G14" s="6"/>
      <c r="H14" s="6"/>
      <c r="I14" s="4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.25" customHeight="1" x14ac:dyDescent="0.2">
      <c r="A15" s="2"/>
      <c r="B15" s="44"/>
      <c r="C15" s="6"/>
      <c r="D15" s="6"/>
      <c r="E15" s="6"/>
      <c r="F15" s="6"/>
      <c r="G15" s="6"/>
      <c r="H15" s="6"/>
      <c r="I15" s="4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1" customFormat="1" ht="39.200000000000003" customHeight="1" x14ac:dyDescent="0.2">
      <c r="A16" s="3"/>
      <c r="B16" s="43"/>
      <c r="C16" s="18" t="s">
        <v>8</v>
      </c>
      <c r="D16" s="19" t="s">
        <v>9</v>
      </c>
      <c r="E16" s="19" t="s">
        <v>10</v>
      </c>
      <c r="F16" s="18" t="str">
        <f>"30th June 2024 fee (co-payment) (incl GST @ "&amp;TEXT(PreviousGSTRate,"#0.0%")&amp;")"</f>
        <v>30th June 2024 fee (co-payment) (incl GST @ 15.0%)</v>
      </c>
      <c r="G16" s="18" t="s">
        <v>79</v>
      </c>
      <c r="H16" s="18" t="s">
        <v>11</v>
      </c>
      <c r="I16" s="4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1" customFormat="1" ht="15" customHeight="1" x14ac:dyDescent="0.2">
      <c r="A17" s="3"/>
      <c r="B17" s="43"/>
      <c r="C17" s="8"/>
      <c r="D17" s="149"/>
      <c r="E17" s="149"/>
      <c r="F17" s="42"/>
      <c r="G17" s="42"/>
      <c r="H17" s="42"/>
      <c r="I17" s="43"/>
      <c r="J17" s="3"/>
      <c r="K17" s="3"/>
      <c r="L17" s="15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" customHeight="1" x14ac:dyDescent="0.2">
      <c r="A18" s="2"/>
      <c r="B18" s="44"/>
      <c r="C18" s="28" t="s">
        <v>12</v>
      </c>
      <c r="D18" s="139">
        <v>0</v>
      </c>
      <c r="E18" s="139">
        <v>0</v>
      </c>
      <c r="F18" s="140">
        <v>0</v>
      </c>
      <c r="G18" s="94">
        <f>F18/(1+PreviousGSTRate)</f>
        <v>0</v>
      </c>
      <c r="H18" s="94">
        <f>E18*G18</f>
        <v>0</v>
      </c>
      <c r="I18" s="44"/>
      <c r="J18" s="2"/>
      <c r="K18" s="2"/>
      <c r="L18" s="14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5" customHeight="1" x14ac:dyDescent="0.2">
      <c r="A19" s="2"/>
      <c r="B19" s="44"/>
      <c r="C19" s="8"/>
      <c r="D19" s="149"/>
      <c r="E19" s="151"/>
      <c r="F19" s="42"/>
      <c r="G19" s="42"/>
      <c r="H19" s="149"/>
      <c r="I19" s="44"/>
      <c r="J19" s="2"/>
      <c r="K19" s="2"/>
      <c r="L19" s="14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5" customHeight="1" x14ac:dyDescent="0.2">
      <c r="A20" s="2"/>
      <c r="B20" s="44"/>
      <c r="C20" s="21" t="s">
        <v>13</v>
      </c>
      <c r="D20" s="139">
        <v>0</v>
      </c>
      <c r="E20" s="139">
        <v>0</v>
      </c>
      <c r="F20" s="140">
        <v>0</v>
      </c>
      <c r="G20" s="94">
        <f>F20/(1+PreviousGSTRate)</f>
        <v>0</v>
      </c>
      <c r="H20" s="94">
        <f>E20*G20</f>
        <v>0</v>
      </c>
      <c r="I20" s="44"/>
      <c r="J20" s="2"/>
      <c r="K20" s="2"/>
      <c r="L20" s="14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5" customHeight="1" x14ac:dyDescent="0.2">
      <c r="A21" s="2"/>
      <c r="B21" s="44"/>
      <c r="C21" s="8"/>
      <c r="D21" s="149"/>
      <c r="E21" s="151"/>
      <c r="F21" s="42"/>
      <c r="G21" s="42"/>
      <c r="H21" s="149"/>
      <c r="I21" s="44"/>
      <c r="J21" s="2"/>
      <c r="K21" s="2"/>
      <c r="L21" s="14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5" customHeight="1" x14ac:dyDescent="0.2">
      <c r="A22" s="2"/>
      <c r="B22" s="44"/>
      <c r="C22" s="21" t="s">
        <v>14</v>
      </c>
      <c r="D22" s="139">
        <v>0</v>
      </c>
      <c r="E22" s="139">
        <v>0</v>
      </c>
      <c r="F22" s="140">
        <v>0</v>
      </c>
      <c r="G22" s="94">
        <f>F22/(1+PreviousGSTRate)</f>
        <v>0</v>
      </c>
      <c r="H22" s="94">
        <f>E22*G22</f>
        <v>0</v>
      </c>
      <c r="I22" s="44"/>
      <c r="J22" s="2"/>
      <c r="K22" s="2"/>
      <c r="L22" s="14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5" customHeight="1" x14ac:dyDescent="0.2">
      <c r="A23" s="2"/>
      <c r="B23" s="44"/>
      <c r="C23" s="8"/>
      <c r="D23" s="149"/>
      <c r="E23" s="151"/>
      <c r="F23" s="42"/>
      <c r="G23" s="42"/>
      <c r="H23" s="149"/>
      <c r="I23" s="44"/>
      <c r="J23" s="2"/>
      <c r="K23" s="2"/>
      <c r="L23" s="14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" customHeight="1" x14ac:dyDescent="0.2">
      <c r="A24" s="2"/>
      <c r="B24" s="44"/>
      <c r="C24" s="21" t="s">
        <v>15</v>
      </c>
      <c r="D24" s="139">
        <v>0</v>
      </c>
      <c r="E24" s="139">
        <v>0</v>
      </c>
      <c r="F24" s="140">
        <v>0</v>
      </c>
      <c r="G24" s="94">
        <f>F24/(1+PreviousGSTRate)</f>
        <v>0</v>
      </c>
      <c r="H24" s="94">
        <f>E24*G24</f>
        <v>0</v>
      </c>
      <c r="I24" s="44"/>
      <c r="J24" s="2"/>
      <c r="K24" s="2"/>
      <c r="L24" s="14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5" customHeight="1" x14ac:dyDescent="0.2">
      <c r="A25" s="2"/>
      <c r="B25" s="44"/>
      <c r="C25" s="8"/>
      <c r="D25" s="149"/>
      <c r="E25" s="151"/>
      <c r="F25" s="42"/>
      <c r="G25" s="42"/>
      <c r="H25" s="149"/>
      <c r="I25" s="44"/>
      <c r="J25" s="2"/>
      <c r="K25" s="2"/>
      <c r="L25" s="14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5" customHeight="1" x14ac:dyDescent="0.2">
      <c r="A26" s="2"/>
      <c r="B26" s="44"/>
      <c r="C26" s="21" t="s">
        <v>16</v>
      </c>
      <c r="D26" s="139">
        <v>0</v>
      </c>
      <c r="E26" s="139">
        <v>0</v>
      </c>
      <c r="F26" s="140">
        <v>0</v>
      </c>
      <c r="G26" s="94">
        <f>F26/(1+PreviousGSTRate)</f>
        <v>0</v>
      </c>
      <c r="H26" s="94">
        <f>E26*G26</f>
        <v>0</v>
      </c>
      <c r="I26" s="44"/>
      <c r="J26" s="2"/>
      <c r="K26" s="2"/>
      <c r="L26" s="14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5" customHeight="1" x14ac:dyDescent="0.2">
      <c r="A27" s="2"/>
      <c r="B27" s="44"/>
      <c r="C27" s="8"/>
      <c r="D27" s="149"/>
      <c r="E27" s="151"/>
      <c r="F27" s="42"/>
      <c r="G27" s="42"/>
      <c r="H27" s="149"/>
      <c r="I27" s="44"/>
      <c r="J27" s="2"/>
      <c r="K27" s="2"/>
      <c r="L27" s="14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5" customHeight="1" x14ac:dyDescent="0.2">
      <c r="A28" s="2"/>
      <c r="B28" s="44"/>
      <c r="C28" s="21" t="s">
        <v>17</v>
      </c>
      <c r="D28" s="139">
        <v>0</v>
      </c>
      <c r="E28" s="139">
        <v>0</v>
      </c>
      <c r="F28" s="140">
        <v>0</v>
      </c>
      <c r="G28" s="94">
        <f>F28/(1+PreviousGSTRate)</f>
        <v>0</v>
      </c>
      <c r="H28" s="94">
        <f>E28*G28</f>
        <v>0</v>
      </c>
      <c r="I28" s="44"/>
      <c r="J28" s="2"/>
      <c r="K28" s="2"/>
      <c r="L28" s="14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 customHeight="1" x14ac:dyDescent="0.2">
      <c r="A29" s="2"/>
      <c r="B29" s="44"/>
      <c r="C29" s="8"/>
      <c r="D29" s="149"/>
      <c r="E29" s="151"/>
      <c r="F29" s="42"/>
      <c r="G29" s="42"/>
      <c r="H29" s="149"/>
      <c r="I29" s="44"/>
      <c r="J29" s="2"/>
      <c r="K29" s="2"/>
      <c r="L29" s="14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 customHeight="1" x14ac:dyDescent="0.2">
      <c r="A30" s="2"/>
      <c r="B30" s="44"/>
      <c r="C30" s="21" t="s">
        <v>18</v>
      </c>
      <c r="D30" s="139">
        <v>0</v>
      </c>
      <c r="E30" s="139">
        <v>0</v>
      </c>
      <c r="F30" s="140">
        <v>0</v>
      </c>
      <c r="G30" s="94">
        <f>F30/(1+PreviousGSTRate)</f>
        <v>0</v>
      </c>
      <c r="H30" s="94">
        <f>E30*G30</f>
        <v>0</v>
      </c>
      <c r="I30" s="44"/>
      <c r="J30" s="2"/>
      <c r="K30" s="2"/>
      <c r="L30" s="14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 customHeight="1" x14ac:dyDescent="0.2">
      <c r="A31" s="2"/>
      <c r="B31" s="44"/>
      <c r="C31" s="4"/>
      <c r="D31" s="42"/>
      <c r="E31" s="129"/>
      <c r="F31" s="4"/>
      <c r="G31" s="4"/>
      <c r="H31" s="4"/>
      <c r="I31" s="4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5" customHeight="1" x14ac:dyDescent="0.2">
      <c r="A32" s="2"/>
      <c r="B32" s="44"/>
      <c r="C32" s="21" t="s">
        <v>19</v>
      </c>
      <c r="D32" s="97">
        <f>SUM(D18:D31)</f>
        <v>0</v>
      </c>
      <c r="E32" s="97">
        <f>SUM(E18:E31)</f>
        <v>0</v>
      </c>
      <c r="F32" s="4"/>
      <c r="G32" s="4"/>
      <c r="H32" s="94">
        <f>SUM(H18:H31)</f>
        <v>0</v>
      </c>
      <c r="I32" s="4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25" customHeight="1" x14ac:dyDescent="0.2">
      <c r="A33" s="2"/>
      <c r="B33" s="44"/>
      <c r="C33" s="44"/>
      <c r="D33" s="44"/>
      <c r="E33" s="44"/>
      <c r="F33" s="44"/>
      <c r="G33" s="44"/>
      <c r="H33" s="44"/>
      <c r="I33" s="4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0.25" customHeight="1" x14ac:dyDescent="0.2">
      <c r="A34" s="2"/>
      <c r="B34" s="44"/>
      <c r="C34" s="44"/>
      <c r="D34" s="100" t="str">
        <f>IF(H34=0,"Please enter ...","")</f>
        <v>Please enter ...</v>
      </c>
      <c r="E34" s="160" t="s">
        <v>20</v>
      </c>
      <c r="F34" s="160"/>
      <c r="G34" s="93"/>
      <c r="H34" s="144">
        <v>0</v>
      </c>
      <c r="I34" s="44"/>
      <c r="J34" s="98"/>
      <c r="L34" s="98"/>
      <c r="M34" s="9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0.25" customHeight="1" thickBot="1" x14ac:dyDescent="0.25">
      <c r="A35" s="2"/>
      <c r="B35" s="44"/>
      <c r="C35" s="44"/>
      <c r="D35" s="65"/>
      <c r="E35" s="160" t="s">
        <v>21</v>
      </c>
      <c r="F35" s="160"/>
      <c r="G35" s="93"/>
      <c r="H35" s="131">
        <f>H32</f>
        <v>0</v>
      </c>
      <c r="I35" s="4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0.25" customHeight="1" thickBot="1" x14ac:dyDescent="0.25">
      <c r="A36" s="2"/>
      <c r="B36" s="44"/>
      <c r="C36" s="44"/>
      <c r="D36" s="65"/>
      <c r="E36" s="101" t="s">
        <v>22</v>
      </c>
      <c r="F36" s="102"/>
      <c r="G36" s="84"/>
      <c r="H36" s="132">
        <f>SUM(H34:H35)</f>
        <v>0</v>
      </c>
      <c r="I36" s="4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0.25" customHeight="1" x14ac:dyDescent="0.2">
      <c r="A37" s="2"/>
      <c r="B37" s="44"/>
      <c r="C37" s="44"/>
      <c r="D37" s="65"/>
      <c r="E37" s="103"/>
      <c r="F37" s="103"/>
      <c r="G37" s="93"/>
      <c r="H37" s="133"/>
      <c r="I37" s="4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0.25" customHeight="1" x14ac:dyDescent="0.2">
      <c r="A38" s="2"/>
      <c r="B38" s="44"/>
      <c r="C38" s="44"/>
      <c r="D38" s="65"/>
      <c r="E38" s="157" t="s">
        <v>23</v>
      </c>
      <c r="F38" s="157"/>
      <c r="G38" s="92"/>
      <c r="H38" s="134" t="str">
        <f>IF(H36=0,"n/a",H34/H36)</f>
        <v>n/a</v>
      </c>
      <c r="I38" s="4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0.25" customHeight="1" x14ac:dyDescent="0.2">
      <c r="A39" s="2"/>
      <c r="B39" s="44"/>
      <c r="C39" s="44"/>
      <c r="D39" s="65"/>
      <c r="E39" s="157" t="s">
        <v>24</v>
      </c>
      <c r="F39" s="157"/>
      <c r="G39" s="92"/>
      <c r="H39" s="134" t="str">
        <f>IF(H36=0,"n/a",H35/H36)</f>
        <v>n/a</v>
      </c>
      <c r="I39" s="4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0.25" customHeight="1" x14ac:dyDescent="0.2">
      <c r="A40" s="2"/>
      <c r="B40" s="44"/>
      <c r="C40" s="44"/>
      <c r="D40" s="44"/>
      <c r="E40" s="44"/>
      <c r="F40" s="44"/>
      <c r="G40" s="44"/>
      <c r="H40" s="44"/>
      <c r="I40" s="4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0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x14ac:dyDescent="0.25">
      <c r="A43" s="2"/>
      <c r="B43" s="2"/>
      <c r="C43" s="142" t="s">
        <v>25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" x14ac:dyDescent="0.2">
      <c r="A44" s="2"/>
      <c r="B44" s="2"/>
      <c r="C44" s="143" t="s">
        <v>26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" x14ac:dyDescent="0.2">
      <c r="A45" s="2"/>
      <c r="B45" s="2"/>
      <c r="C45" s="143" t="s">
        <v>27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 x14ac:dyDescent="0.2">
      <c r="A46" s="2"/>
      <c r="B46" s="2"/>
      <c r="C46" s="143" t="s">
        <v>28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">
      <c r="A50" s="5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">
      <c r="A51" s="59">
        <v>38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">
      <c r="A52" s="59">
        <v>27.7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">
      <c r="A53" s="5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x14ac:dyDescent="0.2">
      <c r="A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x14ac:dyDescent="0.2">
      <c r="A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x14ac:dyDescent="0.2">
      <c r="A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x14ac:dyDescent="0.2">
      <c r="A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x14ac:dyDescent="0.2">
      <c r="A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x14ac:dyDescent="0.2">
      <c r="A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x14ac:dyDescent="0.2">
      <c r="A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x14ac:dyDescent="0.2">
      <c r="A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x14ac:dyDescent="0.2">
      <c r="A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x14ac:dyDescent="0.2">
      <c r="A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x14ac:dyDescent="0.2">
      <c r="A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x14ac:dyDescent="0.2">
      <c r="A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x14ac:dyDescent="0.2">
      <c r="A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x14ac:dyDescent="0.2">
      <c r="A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x14ac:dyDescent="0.2">
      <c r="A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x14ac:dyDescent="0.2">
      <c r="A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x14ac:dyDescent="0.2">
      <c r="A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x14ac:dyDescent="0.2">
      <c r="A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x14ac:dyDescent="0.2">
      <c r="A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x14ac:dyDescent="0.2">
      <c r="A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x14ac:dyDescent="0.2">
      <c r="A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x14ac:dyDescent="0.2">
      <c r="A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x14ac:dyDescent="0.2">
      <c r="A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x14ac:dyDescent="0.2">
      <c r="A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x14ac:dyDescent="0.2">
      <c r="A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x14ac:dyDescent="0.2">
      <c r="A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x14ac:dyDescent="0.2">
      <c r="A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x14ac:dyDescent="0.2">
      <c r="A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x14ac:dyDescent="0.2">
      <c r="A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x14ac:dyDescent="0.2">
      <c r="A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x14ac:dyDescent="0.2">
      <c r="A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x14ac:dyDescent="0.2">
      <c r="A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x14ac:dyDescent="0.2">
      <c r="A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x14ac:dyDescent="0.2">
      <c r="A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x14ac:dyDescent="0.2">
      <c r="A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x14ac:dyDescent="0.2">
      <c r="A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x14ac:dyDescent="0.2">
      <c r="A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x14ac:dyDescent="0.2">
      <c r="A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x14ac:dyDescent="0.2">
      <c r="A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x14ac:dyDescent="0.2">
      <c r="A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x14ac:dyDescent="0.2"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x14ac:dyDescent="0.2"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x14ac:dyDescent="0.2"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x14ac:dyDescent="0.2"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1:30" x14ac:dyDescent="0.2"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1:30" x14ac:dyDescent="0.2"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1:30" x14ac:dyDescent="0.2"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1:30" x14ac:dyDescent="0.2"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1:30" x14ac:dyDescent="0.2"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1:30" x14ac:dyDescent="0.2"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1:30" x14ac:dyDescent="0.2"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1:30" x14ac:dyDescent="0.2"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1:30" x14ac:dyDescent="0.2"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1:30" x14ac:dyDescent="0.2"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1:30" x14ac:dyDescent="0.2"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1:30" x14ac:dyDescent="0.2"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1:30" x14ac:dyDescent="0.2"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1:30" x14ac:dyDescent="0.2"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1:30" x14ac:dyDescent="0.2"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1:30" x14ac:dyDescent="0.2"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1:30" x14ac:dyDescent="0.2"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1:30" x14ac:dyDescent="0.2"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1:30" x14ac:dyDescent="0.2"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1:30" x14ac:dyDescent="0.2"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1:30" x14ac:dyDescent="0.2"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1:30" x14ac:dyDescent="0.2"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1:30" x14ac:dyDescent="0.2"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1:30" x14ac:dyDescent="0.2"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1:30" x14ac:dyDescent="0.2"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1:30" x14ac:dyDescent="0.2"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1:30" x14ac:dyDescent="0.2"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1:30" x14ac:dyDescent="0.2"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1:30" x14ac:dyDescent="0.2"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1:30" x14ac:dyDescent="0.2"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1:30" x14ac:dyDescent="0.2"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1:30" x14ac:dyDescent="0.2"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1:30" x14ac:dyDescent="0.2"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1:30" x14ac:dyDescent="0.2"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1:30" x14ac:dyDescent="0.2"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1:30" x14ac:dyDescent="0.2"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1:30" x14ac:dyDescent="0.2"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1:30" x14ac:dyDescent="0.2"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1:30" x14ac:dyDescent="0.2"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1:30" x14ac:dyDescent="0.2"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1:30" x14ac:dyDescent="0.2"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1:30" x14ac:dyDescent="0.2"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1:30" x14ac:dyDescent="0.2"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1:30" x14ac:dyDescent="0.2"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1:30" x14ac:dyDescent="0.2"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1:30" x14ac:dyDescent="0.2"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1:30" x14ac:dyDescent="0.2"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1:30" x14ac:dyDescent="0.2"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1:30" x14ac:dyDescent="0.2"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1:30" x14ac:dyDescent="0.2"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1:30" x14ac:dyDescent="0.2"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1:30" x14ac:dyDescent="0.2"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1:30" x14ac:dyDescent="0.2"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1:30" x14ac:dyDescent="0.2"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1:30" x14ac:dyDescent="0.2"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1:30" x14ac:dyDescent="0.2"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1:30" x14ac:dyDescent="0.2"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1:30" x14ac:dyDescent="0.2"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1:30" x14ac:dyDescent="0.2"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1:30" x14ac:dyDescent="0.2"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1:30" x14ac:dyDescent="0.2"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1:30" x14ac:dyDescent="0.2"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1:30" x14ac:dyDescent="0.2"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1:30" x14ac:dyDescent="0.2"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1:30" x14ac:dyDescent="0.2"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1:30" x14ac:dyDescent="0.2"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1:30" x14ac:dyDescent="0.2"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1:30" x14ac:dyDescent="0.2"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1:30" x14ac:dyDescent="0.2"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1:30" x14ac:dyDescent="0.2"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1:30" x14ac:dyDescent="0.2"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1:30" x14ac:dyDescent="0.2"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1:30" x14ac:dyDescent="0.2"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1:30" x14ac:dyDescent="0.2"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1:30" x14ac:dyDescent="0.2"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1:30" x14ac:dyDescent="0.2"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1:30" x14ac:dyDescent="0.2"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1:30" x14ac:dyDescent="0.2"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1:30" x14ac:dyDescent="0.2"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1:30" x14ac:dyDescent="0.2"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1:30" x14ac:dyDescent="0.2"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1:30" x14ac:dyDescent="0.2"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1:30" x14ac:dyDescent="0.2"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1:30" x14ac:dyDescent="0.2"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1:30" x14ac:dyDescent="0.2"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1:30" x14ac:dyDescent="0.2"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1:30" x14ac:dyDescent="0.2"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1:30" x14ac:dyDescent="0.2"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1:30" x14ac:dyDescent="0.2"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1:30" x14ac:dyDescent="0.2"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1:30" x14ac:dyDescent="0.2"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1:30" x14ac:dyDescent="0.2"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1:30" x14ac:dyDescent="0.2"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1:30" x14ac:dyDescent="0.2"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1:30" x14ac:dyDescent="0.2"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1:30" x14ac:dyDescent="0.2"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1:30" x14ac:dyDescent="0.2"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1:30" x14ac:dyDescent="0.2"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1:30" x14ac:dyDescent="0.2"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1:30" x14ac:dyDescent="0.2"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1:30" x14ac:dyDescent="0.2"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1:30" x14ac:dyDescent="0.2"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1:30" x14ac:dyDescent="0.2"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1:30" x14ac:dyDescent="0.2"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1:30" x14ac:dyDescent="0.2"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1:30" x14ac:dyDescent="0.2"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1:30" x14ac:dyDescent="0.2"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1:30" x14ac:dyDescent="0.2"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1:30" x14ac:dyDescent="0.2"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1:30" x14ac:dyDescent="0.2"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1:30" x14ac:dyDescent="0.2"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1:30" x14ac:dyDescent="0.2"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1:30" x14ac:dyDescent="0.2"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1:30" x14ac:dyDescent="0.2"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1:30" x14ac:dyDescent="0.2"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1:30" x14ac:dyDescent="0.2"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1:30" x14ac:dyDescent="0.2"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1:30" x14ac:dyDescent="0.2"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1:30" x14ac:dyDescent="0.2"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1:30" x14ac:dyDescent="0.2"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1:30" x14ac:dyDescent="0.2"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1:30" x14ac:dyDescent="0.2"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1:30" x14ac:dyDescent="0.2"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1:30" x14ac:dyDescent="0.2"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1:30" x14ac:dyDescent="0.2"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1:30" x14ac:dyDescent="0.2"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1:30" x14ac:dyDescent="0.2"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1:30" x14ac:dyDescent="0.2"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1:30" x14ac:dyDescent="0.2"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1:30" x14ac:dyDescent="0.2"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1:30" x14ac:dyDescent="0.2"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1:30" x14ac:dyDescent="0.2"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1:30" x14ac:dyDescent="0.2"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1:30" x14ac:dyDescent="0.2"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1:30" x14ac:dyDescent="0.2"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1:30" x14ac:dyDescent="0.2"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1:30" x14ac:dyDescent="0.2"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1:30" x14ac:dyDescent="0.2"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1:30" x14ac:dyDescent="0.2"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1:30" x14ac:dyDescent="0.2"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1:30" x14ac:dyDescent="0.2"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1:30" x14ac:dyDescent="0.2"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1:30" x14ac:dyDescent="0.2"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1:30" x14ac:dyDescent="0.2"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1:30" x14ac:dyDescent="0.2"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1:30" x14ac:dyDescent="0.2"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1:30" x14ac:dyDescent="0.2"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1:30" x14ac:dyDescent="0.2"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1:30" x14ac:dyDescent="0.2"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1:30" x14ac:dyDescent="0.2"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1:30" x14ac:dyDescent="0.2"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1:30" x14ac:dyDescent="0.2"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1:30" x14ac:dyDescent="0.2"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1:30" x14ac:dyDescent="0.2"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1:30" x14ac:dyDescent="0.2"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1:30" x14ac:dyDescent="0.2"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1:30" x14ac:dyDescent="0.2"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</sheetData>
  <sheetProtection algorithmName="SHA-512" hashValue="6RJT863ItyuP2ZJVUDVk2AlyZ6XJhPRp0QOYqcBNhYCOooEbh0sWRVAUsTk71SxLg8SaFosDFP31ZbOTjsbSbw==" saltValue="Igqf/SpBA6vlP7X9EtG9qg==" spinCount="100000" sheet="1" selectLockedCells="1"/>
  <mergeCells count="7">
    <mergeCell ref="B1:I1"/>
    <mergeCell ref="B3:I3"/>
    <mergeCell ref="E39:F39"/>
    <mergeCell ref="B5:I5"/>
    <mergeCell ref="E38:F38"/>
    <mergeCell ref="E34:F34"/>
    <mergeCell ref="E35:F35"/>
  </mergeCells>
  <phoneticPr fontId="0" type="noConversion"/>
  <pageMargins left="0.75" right="0.75" top="1" bottom="1" header="0.5" footer="0.5"/>
  <pageSetup paperSize="9" scale="70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6</xdr:col>
                    <xdr:colOff>0</xdr:colOff>
                    <xdr:row>17</xdr:row>
                    <xdr:rowOff>9525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Spinner 4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Spinner 5">
              <controlPr defaultSize="0" autoPict="0">
                <anchor moveWithCells="1" siz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Spinner 6">
              <controlPr defaultSize="0" autoPict="0">
                <anchor moveWithCells="1" siz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Spinner 7">
              <controlPr defaultSize="0" autoPict="0">
                <anchor moveWithCells="1" sizeWithCells="1">
                  <from>
                    <xdr:col>6</xdr:col>
                    <xdr:colOff>0</xdr:colOff>
                    <xdr:row>17</xdr:row>
                    <xdr:rowOff>38100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Spinner 8">
              <controlPr defaultSize="0" autoPict="0">
                <anchor moveWithCells="1" sizeWithCells="1">
                  <from>
                    <xdr:col>6</xdr:col>
                    <xdr:colOff>0</xdr:colOff>
                    <xdr:row>21</xdr:row>
                    <xdr:rowOff>38100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Spinner 9">
              <controlPr defaultSize="0" autoPict="0">
                <anchor moveWithCells="1" sizeWithCells="1">
                  <from>
                    <xdr:col>6</xdr:col>
                    <xdr:colOff>0</xdr:colOff>
                    <xdr:row>23</xdr:row>
                    <xdr:rowOff>38100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Spinner 10">
              <controlPr defaultSize="0" autoPict="0">
                <anchor moveWithCells="1" sizeWithCells="1">
                  <from>
                    <xdr:col>6</xdr:col>
                    <xdr:colOff>0</xdr:colOff>
                    <xdr:row>25</xdr:row>
                    <xdr:rowOff>38100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Spinner 11">
              <controlPr defaultSize="0" autoPict="0">
                <anchor moveWithCells="1" sizeWithCells="1">
                  <from>
                    <xdr:col>6</xdr:col>
                    <xdr:colOff>0</xdr:colOff>
                    <xdr:row>27</xdr:row>
                    <xdr:rowOff>38100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Spinner 12">
              <controlPr defaultSize="0" autoPict="0">
                <anchor moveWithCells="1" sizeWithCells="1">
                  <from>
                    <xdr:col>6</xdr:col>
                    <xdr:colOff>0</xdr:colOff>
                    <xdr:row>29</xdr:row>
                    <xdr:rowOff>38100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6" name="Spinner 153">
              <controlPr defaultSize="0" autoPict="0">
                <anchor moveWithCells="1" siz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7" name="Spinner 154">
              <controlPr defaultSize="0" autoPict="0">
                <anchor moveWithCells="1" sizeWithCells="1">
                  <from>
                    <xdr:col>6</xdr:col>
                    <xdr:colOff>0</xdr:colOff>
                    <xdr:row>31</xdr:row>
                    <xdr:rowOff>38100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8" name="Spinner 155">
              <controlPr defaultSize="0" autoPict="0">
                <anchor moveWithCells="1" siz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9" name="Spinner 156">
              <controlPr defaultSize="0" autoPict="0">
                <anchor moveWithCells="1" sizeWithCells="1">
                  <from>
                    <xdr:col>6</xdr:col>
                    <xdr:colOff>0</xdr:colOff>
                    <xdr:row>19</xdr:row>
                    <xdr:rowOff>38100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362"/>
  <sheetViews>
    <sheetView showGridLines="0" topLeftCell="A3" zoomScale="85" zoomScaleNormal="85" workbookViewId="0">
      <selection activeCell="F42" sqref="F42"/>
    </sheetView>
  </sheetViews>
  <sheetFormatPr defaultRowHeight="12.75" x14ac:dyDescent="0.2"/>
  <cols>
    <col min="1" max="1" width="3.5703125" customWidth="1"/>
    <col min="3" max="3" width="23.28515625" bestFit="1" customWidth="1"/>
    <col min="4" max="4" width="37" bestFit="1" customWidth="1"/>
    <col min="5" max="5" width="32.42578125" bestFit="1" customWidth="1"/>
    <col min="6" max="6" width="29.5703125" bestFit="1" customWidth="1"/>
    <col min="8" max="8" width="3.28515625" customWidth="1"/>
  </cols>
  <sheetData>
    <row r="1" spans="1:31" s="2" customFormat="1" ht="19.5" customHeight="1" x14ac:dyDescent="0.2"/>
    <row r="2" spans="1:31" ht="15.75" hidden="1" customHeight="1" x14ac:dyDescent="0.2">
      <c r="A2" s="2"/>
      <c r="B2" s="2"/>
      <c r="C2" s="40"/>
      <c r="D2" s="40"/>
      <c r="E2" s="40"/>
      <c r="F2" s="40"/>
      <c r="G2" s="4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6.25" x14ac:dyDescent="0.4">
      <c r="A3" s="2"/>
      <c r="B3" s="2"/>
      <c r="C3" s="158" t="s">
        <v>29</v>
      </c>
      <c r="D3" s="158"/>
      <c r="E3" s="158"/>
      <c r="F3" s="158"/>
      <c r="G3" s="15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25" x14ac:dyDescent="0.3">
      <c r="A4" s="2"/>
      <c r="B4" s="2"/>
      <c r="C4" s="163" t="s">
        <v>30</v>
      </c>
      <c r="D4" s="163"/>
      <c r="E4" s="163"/>
      <c r="F4" s="163"/>
      <c r="G4" s="16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2"/>
      <c r="B5" s="2"/>
      <c r="C5" s="40"/>
      <c r="D5" s="40"/>
      <c r="E5" s="40"/>
      <c r="F5" s="40"/>
      <c r="G5" s="4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2"/>
      <c r="B6" s="2"/>
      <c r="C6" s="40"/>
      <c r="D6" s="40"/>
      <c r="E6" s="40"/>
      <c r="F6" s="40"/>
      <c r="G6" s="4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.75" x14ac:dyDescent="0.25">
      <c r="A7" s="2"/>
      <c r="B7" s="2"/>
      <c r="C7" s="161" t="s">
        <v>31</v>
      </c>
      <c r="D7" s="161"/>
      <c r="E7" s="161"/>
      <c r="F7" s="161"/>
      <c r="G7" s="16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"/>
      <c r="B8" s="2"/>
      <c r="C8" s="40"/>
      <c r="D8" s="40"/>
      <c r="E8" s="40"/>
      <c r="F8" s="40"/>
      <c r="G8" s="4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x14ac:dyDescent="0.25">
      <c r="A9" s="2"/>
      <c r="B9" s="2"/>
      <c r="C9" s="40"/>
      <c r="D9" s="55" t="s">
        <v>32</v>
      </c>
      <c r="E9" s="52" t="s">
        <v>33</v>
      </c>
      <c r="F9" s="40"/>
      <c r="G9" s="4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75" x14ac:dyDescent="0.25">
      <c r="A10" s="2"/>
      <c r="B10" s="2"/>
      <c r="C10" s="2"/>
      <c r="D10" s="82" t="str">
        <f>'Revenue Split'!H38</f>
        <v>n/a</v>
      </c>
      <c r="E10" s="83" t="str">
        <f>'Revenue Split'!H39</f>
        <v>n/a</v>
      </c>
      <c r="F10" s="152">
        <v>0.5</v>
      </c>
      <c r="G10" s="152">
        <f>1-F10</f>
        <v>0.5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thickBo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" customHeight="1" x14ac:dyDescent="0.2">
      <c r="A13" s="2"/>
      <c r="B13" s="29"/>
      <c r="C13" s="30"/>
      <c r="D13" s="30"/>
      <c r="E13" s="30"/>
      <c r="F13" s="30"/>
      <c r="G13" s="3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25">
      <c r="A14" s="2"/>
      <c r="B14" s="32"/>
      <c r="C14" s="33" t="s">
        <v>34</v>
      </c>
      <c r="D14" s="34" t="s">
        <v>35</v>
      </c>
      <c r="E14" s="35" t="s">
        <v>36</v>
      </c>
      <c r="F14" s="35" t="s">
        <v>37</v>
      </c>
      <c r="G14" s="3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 x14ac:dyDescent="0.25">
      <c r="A15" s="2"/>
      <c r="B15" s="32"/>
      <c r="C15" s="33"/>
      <c r="D15" s="33"/>
      <c r="E15" s="33"/>
      <c r="F15" s="33" t="s">
        <v>38</v>
      </c>
      <c r="G15" s="3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" customHeight="1" x14ac:dyDescent="0.25">
      <c r="A16" s="2"/>
      <c r="B16" s="32"/>
      <c r="C16" s="37"/>
      <c r="D16" s="37"/>
      <c r="E16" s="2"/>
      <c r="F16" s="2"/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" customHeight="1" x14ac:dyDescent="0.25">
      <c r="A17" s="2"/>
      <c r="B17" s="32"/>
      <c r="C17" s="37" t="s">
        <v>39</v>
      </c>
      <c r="D17" s="105">
        <v>3.7364019933937273E-2</v>
      </c>
      <c r="E17" s="105">
        <v>2.8000000000000001E-2</v>
      </c>
      <c r="F17" s="106">
        <f t="shared" ref="F17:F30" si="0">IF(D17&gt;E17,(D17-(MAX($D$10,DefaultCapitationContribution)*E17))/MIN($E$10,DefaultCopaymentContribution),IF(ISNUMBER($D$10),(D17-$D$10*E17)/$E$10,(D17-DefaultCapitationContribution*E17)/DefaultCopaymentContribution))</f>
        <v>4.6728039867874549E-2</v>
      </c>
      <c r="G17" s="36"/>
      <c r="H17" s="2"/>
      <c r="I17" s="2"/>
      <c r="J17" s="2"/>
      <c r="K17" s="2"/>
      <c r="L17" s="2"/>
      <c r="M17" s="141"/>
      <c r="N17" s="14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" customHeight="1" x14ac:dyDescent="0.25">
      <c r="A18" s="2"/>
      <c r="B18" s="32"/>
      <c r="C18" s="37" t="s">
        <v>40</v>
      </c>
      <c r="D18" s="105">
        <v>4.8000000000000001E-2</v>
      </c>
      <c r="E18" s="105">
        <v>3.116E-2</v>
      </c>
      <c r="F18" s="106">
        <f t="shared" si="0"/>
        <v>6.4840000000000009E-2</v>
      </c>
      <c r="G18" s="36"/>
      <c r="H18" s="2"/>
      <c r="I18" s="2"/>
      <c r="J18" s="2"/>
      <c r="K18" s="2"/>
      <c r="L18" s="2"/>
      <c r="M18" s="141"/>
      <c r="N18" s="14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" customHeight="1" x14ac:dyDescent="0.25">
      <c r="A19" s="2"/>
      <c r="B19" s="32"/>
      <c r="C19" s="37" t="s">
        <v>41</v>
      </c>
      <c r="D19" s="105">
        <v>3.0099999999999998E-2</v>
      </c>
      <c r="E19" s="105">
        <v>0.02</v>
      </c>
      <c r="F19" s="106">
        <f t="shared" si="0"/>
        <v>4.02E-2</v>
      </c>
      <c r="G19" s="36"/>
      <c r="H19" s="2"/>
      <c r="I19" s="2"/>
      <c r="J19" s="2"/>
      <c r="K19" s="2"/>
      <c r="L19" s="2"/>
      <c r="M19" s="141"/>
      <c r="N19" s="14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" customHeight="1" x14ac:dyDescent="0.25">
      <c r="A20" s="2"/>
      <c r="B20" s="32"/>
      <c r="C20" s="37" t="s">
        <v>42</v>
      </c>
      <c r="D20" s="105">
        <v>1.0945E-2</v>
      </c>
      <c r="E20" s="105">
        <v>0.02</v>
      </c>
      <c r="F20" s="106">
        <f t="shared" si="0"/>
        <v>1.8899999999999993E-3</v>
      </c>
      <c r="G20" s="36"/>
      <c r="H20" s="2"/>
      <c r="I20" s="2"/>
      <c r="J20" s="2"/>
      <c r="K20" s="2"/>
      <c r="L20" s="2"/>
      <c r="M20" s="141"/>
      <c r="N20" s="14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" customHeight="1" x14ac:dyDescent="0.25">
      <c r="A21" s="2"/>
      <c r="B21" s="32"/>
      <c r="C21" s="37" t="s">
        <v>43</v>
      </c>
      <c r="D21" s="105">
        <v>1.414E-2</v>
      </c>
      <c r="E21" s="105">
        <v>1.49E-2</v>
      </c>
      <c r="F21" s="106">
        <f t="shared" si="0"/>
        <v>1.338E-2</v>
      </c>
      <c r="G21" s="36"/>
      <c r="H21" s="2"/>
      <c r="I21" s="2"/>
      <c r="J21" s="2"/>
      <c r="K21" s="2"/>
      <c r="L21" s="2"/>
      <c r="M21" s="141"/>
      <c r="N21" s="14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" customHeight="1" x14ac:dyDescent="0.25">
      <c r="A22" s="2"/>
      <c r="B22" s="32"/>
      <c r="C22" s="37" t="s">
        <v>44</v>
      </c>
      <c r="D22" s="105">
        <v>1.504E-2</v>
      </c>
      <c r="E22" s="105">
        <v>0.01</v>
      </c>
      <c r="F22" s="106">
        <f t="shared" si="0"/>
        <v>2.0080000000000001E-2</v>
      </c>
      <c r="G22" s="36"/>
      <c r="H22" s="2"/>
      <c r="I22" s="2"/>
      <c r="J22" s="2"/>
      <c r="K22" s="2"/>
      <c r="L22" s="2"/>
      <c r="M22" s="141"/>
      <c r="N22" s="14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" customFormat="1" ht="15" customHeight="1" x14ac:dyDescent="0.25">
      <c r="B23" s="32"/>
      <c r="C23" s="37" t="s">
        <v>45</v>
      </c>
      <c r="D23" s="105">
        <v>1.1849999999999999E-2</v>
      </c>
      <c r="E23" s="105">
        <v>0.01</v>
      </c>
      <c r="F23" s="106">
        <f t="shared" si="0"/>
        <v>1.3699999999999999E-2</v>
      </c>
      <c r="G23" s="36"/>
      <c r="M23" s="141"/>
      <c r="N23" s="141"/>
    </row>
    <row r="24" spans="1:31" s="2" customFormat="1" ht="15" customHeight="1" x14ac:dyDescent="0.25">
      <c r="B24" s="32"/>
      <c r="C24" s="37" t="s">
        <v>46</v>
      </c>
      <c r="D24" s="105">
        <v>1.1037E-2</v>
      </c>
      <c r="E24" s="105">
        <v>8.0000000000000002E-3</v>
      </c>
      <c r="F24" s="106">
        <f t="shared" si="0"/>
        <v>1.4074E-2</v>
      </c>
      <c r="G24" s="36"/>
      <c r="M24" s="141"/>
      <c r="N24" s="141"/>
    </row>
    <row r="25" spans="1:31" s="2" customFormat="1" ht="15" customHeight="1" x14ac:dyDescent="0.25">
      <c r="B25" s="32"/>
      <c r="C25" s="37" t="s">
        <v>47</v>
      </c>
      <c r="D25" s="105">
        <v>1.1246702000000001E-2</v>
      </c>
      <c r="E25" s="105">
        <v>0.01</v>
      </c>
      <c r="F25" s="106">
        <f t="shared" si="0"/>
        <v>1.2493404000000001E-2</v>
      </c>
      <c r="G25" s="36"/>
      <c r="M25" s="141"/>
      <c r="N25" s="141"/>
    </row>
    <row r="26" spans="1:31" s="2" customFormat="1" ht="15" customHeight="1" x14ac:dyDescent="0.25">
      <c r="B26" s="32"/>
      <c r="C26" s="37" t="s">
        <v>48</v>
      </c>
      <c r="D26" s="105">
        <v>1.5699999999999999E-2</v>
      </c>
      <c r="E26" s="105">
        <v>1.8200000000000001E-2</v>
      </c>
      <c r="F26" s="106">
        <f t="shared" si="0"/>
        <v>1.3199999999999996E-2</v>
      </c>
      <c r="G26" s="36"/>
      <c r="M26" s="141"/>
      <c r="N26" s="141"/>
    </row>
    <row r="27" spans="1:31" s="2" customFormat="1" ht="15" customHeight="1" x14ac:dyDescent="0.25">
      <c r="B27" s="32"/>
      <c r="C27" s="37" t="s">
        <v>49</v>
      </c>
      <c r="D27" s="105">
        <v>2.3800000000000002E-2</v>
      </c>
      <c r="E27" s="105">
        <v>2.3800000000000002E-2</v>
      </c>
      <c r="F27" s="106">
        <f t="shared" si="0"/>
        <v>2.3800000000000002E-2</v>
      </c>
      <c r="G27" s="36"/>
      <c r="M27" s="141"/>
      <c r="N27" s="141"/>
    </row>
    <row r="28" spans="1:31" s="2" customFormat="1" ht="15" customHeight="1" x14ac:dyDescent="0.25">
      <c r="B28" s="32"/>
      <c r="C28" s="37" t="s">
        <v>50</v>
      </c>
      <c r="D28" s="105">
        <v>2.9100000000000001E-2</v>
      </c>
      <c r="E28" s="105">
        <v>2.9100000000000001E-2</v>
      </c>
      <c r="F28" s="106">
        <f t="shared" si="0"/>
        <v>2.9100000000000001E-2</v>
      </c>
      <c r="G28" s="36"/>
      <c r="M28" s="141"/>
      <c r="N28" s="141"/>
    </row>
    <row r="29" spans="1:31" s="2" customFormat="1" ht="15" customHeight="1" x14ac:dyDescent="0.25">
      <c r="B29" s="32"/>
      <c r="C29" s="37" t="s">
        <v>51</v>
      </c>
      <c r="D29" s="105">
        <v>3.5099999999999999E-2</v>
      </c>
      <c r="E29" s="105">
        <v>3.5099999999999999E-2</v>
      </c>
      <c r="F29" s="106">
        <f t="shared" si="0"/>
        <v>3.5099999999999999E-2</v>
      </c>
      <c r="G29" s="36"/>
      <c r="M29" s="141"/>
      <c r="N29" s="141"/>
    </row>
    <row r="30" spans="1:31" s="2" customFormat="1" ht="15" customHeight="1" x14ac:dyDescent="0.25">
      <c r="B30" s="32"/>
      <c r="C30" s="37" t="s">
        <v>52</v>
      </c>
      <c r="D30" s="105">
        <v>2.7799999999999998E-2</v>
      </c>
      <c r="E30" s="105">
        <v>2.7799999999999998E-2</v>
      </c>
      <c r="F30" s="106">
        <f t="shared" si="0"/>
        <v>2.7799999999999998E-2</v>
      </c>
      <c r="G30" s="36"/>
      <c r="M30" s="141"/>
      <c r="N30" s="141"/>
    </row>
    <row r="31" spans="1:31" s="2" customFormat="1" ht="15" customHeight="1" x14ac:dyDescent="0.25">
      <c r="B31" s="32"/>
      <c r="C31" s="37" t="s">
        <v>77</v>
      </c>
      <c r="D31" s="105">
        <v>2.3800000000000002E-2</v>
      </c>
      <c r="E31" s="105">
        <v>2.3800000000000002E-2</v>
      </c>
      <c r="F31" s="106">
        <f t="shared" ref="F31:F32" si="1">IF(D31&gt;E31,(D31-(MAX($D$10,DefaultCapitationContribution)*E31))/MIN($E$10,DefaultCopaymentContribution),IF(ISNUMBER($D$10),(D31-$D$10*E31)/$E$10,(D31-DefaultCapitationContribution*E31)/DefaultCopaymentContribution))</f>
        <v>2.3800000000000002E-2</v>
      </c>
      <c r="G31" s="36"/>
      <c r="M31" s="141"/>
      <c r="N31" s="141"/>
    </row>
    <row r="32" spans="1:31" s="2" customFormat="1" ht="15" customHeight="1" x14ac:dyDescent="0.25">
      <c r="B32" s="32"/>
      <c r="C32" s="37" t="s">
        <v>78</v>
      </c>
      <c r="D32" s="105">
        <v>4.9200000000000001E-2</v>
      </c>
      <c r="E32" s="105">
        <v>4.9200000000000001E-2</v>
      </c>
      <c r="F32" s="106">
        <f t="shared" si="1"/>
        <v>4.9200000000000001E-2</v>
      </c>
      <c r="G32" s="154"/>
    </row>
    <row r="33" spans="1:31" s="2" customFormat="1" ht="15" customHeight="1" thickBot="1" x14ac:dyDescent="0.3">
      <c r="B33" s="38"/>
      <c r="C33" s="145" t="s">
        <v>80</v>
      </c>
      <c r="D33" s="146">
        <v>5.8799999999999998E-2</v>
      </c>
      <c r="E33" s="146">
        <v>0.04</v>
      </c>
      <c r="F33" s="147">
        <f t="shared" ref="F33" si="2">IF(D33&gt;E33,(D33-(MAX($D$10,DefaultCapitationContribution)*E33))/MIN($E$10,DefaultCopaymentContribution),IF(ISNUMBER($D$10),(D33-$D$10*E33)/$E$10,(D33-DefaultCapitationContribution*E33)/DefaultCopaymentContribution))</f>
        <v>7.7600000000000002E-2</v>
      </c>
      <c r="G33" s="39"/>
    </row>
    <row r="34" spans="1:31" s="2" customFormat="1" ht="15" customHeight="1" x14ac:dyDescent="0.2">
      <c r="C34" s="40"/>
      <c r="D34" s="40"/>
      <c r="E34" s="40"/>
      <c r="F34" s="40"/>
      <c r="G34" s="40"/>
    </row>
    <row r="35" spans="1:31" ht="15" customHeight="1" x14ac:dyDescent="0.25">
      <c r="A35" s="2"/>
      <c r="B35" s="2"/>
      <c r="C35" s="162" t="s">
        <v>53</v>
      </c>
      <c r="D35" s="162"/>
      <c r="E35" s="162"/>
      <c r="F35" s="162"/>
      <c r="G35" s="16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" customHeight="1" x14ac:dyDescent="0.2">
      <c r="A36" s="2"/>
      <c r="B36" s="2"/>
      <c r="C36" s="40"/>
      <c r="D36" s="40"/>
      <c r="E36" s="40"/>
      <c r="F36" s="40"/>
      <c r="G36" s="4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" customHeight="1" x14ac:dyDescent="0.25">
      <c r="A37" s="2"/>
      <c r="B37" s="2"/>
      <c r="C37" s="2"/>
      <c r="D37" s="53" t="s">
        <v>34</v>
      </c>
      <c r="E37" s="52" t="s">
        <v>37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" customHeight="1" x14ac:dyDescent="0.25">
      <c r="A38" s="2"/>
      <c r="B38" s="2"/>
      <c r="C38" s="2"/>
      <c r="D38" s="54"/>
      <c r="E38" s="8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" customHeight="1" x14ac:dyDescent="0.25">
      <c r="A39" s="2"/>
      <c r="B39" s="2"/>
      <c r="C39" s="2"/>
      <c r="D39" s="54" t="s">
        <v>39</v>
      </c>
      <c r="E39" s="107">
        <f t="shared" ref="E39:E49" si="3">F17</f>
        <v>4.6728039867874549E-2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" customHeight="1" x14ac:dyDescent="0.25">
      <c r="A40" s="2"/>
      <c r="B40" s="2"/>
      <c r="C40" s="2"/>
      <c r="D40" s="54" t="s">
        <v>40</v>
      </c>
      <c r="E40" s="107">
        <f t="shared" si="3"/>
        <v>6.4840000000000009E-2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" customHeight="1" x14ac:dyDescent="0.25">
      <c r="A41" s="2"/>
      <c r="B41" s="2"/>
      <c r="C41" s="2"/>
      <c r="D41" s="54" t="s">
        <v>41</v>
      </c>
      <c r="E41" s="107">
        <f t="shared" si="3"/>
        <v>4.02E-2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5">
      <c r="A42" s="2"/>
      <c r="B42" s="2"/>
      <c r="C42" s="2"/>
      <c r="D42" s="54" t="s">
        <v>42</v>
      </c>
      <c r="E42" s="107">
        <f t="shared" si="3"/>
        <v>1.8899999999999993E-3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5">
      <c r="A43" s="2"/>
      <c r="B43" s="2"/>
      <c r="C43" s="2"/>
      <c r="D43" s="54" t="s">
        <v>43</v>
      </c>
      <c r="E43" s="107">
        <f t="shared" si="3"/>
        <v>1.338E-2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5">
      <c r="A44" s="2"/>
      <c r="B44" s="2"/>
      <c r="C44" s="2"/>
      <c r="D44" s="54" t="s">
        <v>44</v>
      </c>
      <c r="E44" s="107">
        <f t="shared" si="3"/>
        <v>2.0080000000000001E-2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5">
      <c r="A45" s="2"/>
      <c r="B45" s="2"/>
      <c r="C45" s="2"/>
      <c r="D45" s="54" t="s">
        <v>45</v>
      </c>
      <c r="E45" s="107">
        <f t="shared" si="3"/>
        <v>1.3699999999999999E-2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5">
      <c r="A46" s="2"/>
      <c r="B46" s="2"/>
      <c r="C46" s="2"/>
      <c r="D46" s="54" t="s">
        <v>46</v>
      </c>
      <c r="E46" s="107">
        <f t="shared" si="3"/>
        <v>1.4074E-2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2"/>
      <c r="B47" s="2"/>
      <c r="C47" s="2"/>
      <c r="D47" s="54" t="s">
        <v>47</v>
      </c>
      <c r="E47" s="107">
        <f t="shared" si="3"/>
        <v>1.2493404000000001E-2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5">
      <c r="A48" s="2"/>
      <c r="B48" s="2"/>
      <c r="C48" s="2"/>
      <c r="D48" s="54" t="s">
        <v>48</v>
      </c>
      <c r="E48" s="107">
        <f t="shared" si="3"/>
        <v>1.3199999999999996E-2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5">
      <c r="A49" s="2"/>
      <c r="B49" s="2"/>
      <c r="C49" s="2"/>
      <c r="D49" s="54" t="s">
        <v>49</v>
      </c>
      <c r="E49" s="107">
        <f t="shared" si="3"/>
        <v>2.3800000000000002E-2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5">
      <c r="A50" s="2"/>
      <c r="B50" s="2"/>
      <c r="C50" s="2"/>
      <c r="D50" s="54" t="s">
        <v>50</v>
      </c>
      <c r="E50" s="107">
        <f t="shared" ref="E50:E55" si="4">F28</f>
        <v>2.9100000000000001E-2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5">
      <c r="A51" s="2"/>
      <c r="B51" s="2"/>
      <c r="C51" s="2"/>
      <c r="D51" s="54" t="s">
        <v>51</v>
      </c>
      <c r="E51" s="107">
        <f t="shared" si="4"/>
        <v>3.5099999999999999E-2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5">
      <c r="A52" s="2"/>
      <c r="B52" s="2"/>
      <c r="C52" s="2"/>
      <c r="D52" s="54" t="s">
        <v>52</v>
      </c>
      <c r="E52" s="107">
        <f t="shared" si="4"/>
        <v>2.7799999999999998E-2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5">
      <c r="A53" s="2"/>
      <c r="B53" s="2"/>
      <c r="C53" s="2"/>
      <c r="D53" s="54" t="s">
        <v>77</v>
      </c>
      <c r="E53" s="107">
        <f t="shared" si="4"/>
        <v>2.3800000000000002E-2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5">
      <c r="A54" s="2"/>
      <c r="B54" s="2"/>
      <c r="C54" s="2"/>
      <c r="D54" s="54" t="s">
        <v>78</v>
      </c>
      <c r="E54" s="107">
        <f t="shared" si="4"/>
        <v>4.9200000000000001E-2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5">
      <c r="A55" s="2"/>
      <c r="B55" s="2"/>
      <c r="C55" s="2"/>
      <c r="D55" s="58" t="s">
        <v>80</v>
      </c>
      <c r="E55" s="86">
        <f t="shared" si="4"/>
        <v>7.7600000000000002E-2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" customHeight="1" x14ac:dyDescent="0.25">
      <c r="A58" s="2"/>
      <c r="B58" s="2"/>
      <c r="C58" s="89" t="s">
        <v>56</v>
      </c>
      <c r="D58" s="87" t="s">
        <v>54</v>
      </c>
      <c r="E58" s="88" t="s">
        <v>55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" customHeight="1" x14ac:dyDescent="0.25">
      <c r="A59" s="2"/>
      <c r="B59" s="2"/>
      <c r="C59" s="2"/>
      <c r="D59" s="90" t="s">
        <v>80</v>
      </c>
      <c r="E59" s="91">
        <f>VLOOKUP(D59,D39:E55,2,FALSE)</f>
        <v>7.7600000000000002E-2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41"/>
      <c r="B68" s="41"/>
      <c r="C68" s="41"/>
      <c r="D68" s="2"/>
      <c r="E68" s="2"/>
      <c r="F68" s="41"/>
      <c r="G68" s="41"/>
      <c r="H68" s="4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"/>
      <c r="B69" s="2"/>
      <c r="C69" s="2"/>
      <c r="D69" s="41"/>
      <c r="E69" s="4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A72" s="41"/>
      <c r="B72" s="41"/>
      <c r="C72" s="41"/>
      <c r="D72" s="2"/>
      <c r="E72" s="2"/>
      <c r="F72" s="41"/>
      <c r="G72" s="41"/>
      <c r="H72" s="4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A73" s="2"/>
      <c r="B73" s="2"/>
      <c r="C73" s="2"/>
      <c r="D73" s="41"/>
      <c r="E73" s="4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x14ac:dyDescent="0.2">
      <c r="D362" s="2"/>
      <c r="E362" s="2"/>
    </row>
  </sheetData>
  <sheetProtection algorithmName="SHA-512" hashValue="2FN81sZ+B9fWZynpgg3eRzMiO1b+6a/aOT37Hq4fLpbogqXA+lRpuWtHQU7JWrhJwBXXaXvhQnGLVopXfeX2Ow==" saltValue="lzrBqFMVg5WH+2YPS1iZ8w==" spinCount="100000" sheet="1" objects="1" scenarios="1"/>
  <mergeCells count="4">
    <mergeCell ref="C3:G3"/>
    <mergeCell ref="C7:G7"/>
    <mergeCell ref="C35:G35"/>
    <mergeCell ref="C4:G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Header>&amp;C&amp;"Calibri"&amp;10&amp;K000000 UNCLASSIFIED&amp;1#_x000D_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U353"/>
  <sheetViews>
    <sheetView showGridLines="0" showRowColHeaders="0" zoomScale="80" zoomScaleNormal="80" workbookViewId="0">
      <selection activeCell="I28" sqref="I28:Q29"/>
    </sheetView>
  </sheetViews>
  <sheetFormatPr defaultRowHeight="12.75" x14ac:dyDescent="0.2"/>
  <cols>
    <col min="1" max="1" width="3.42578125" customWidth="1"/>
    <col min="2" max="2" width="2" customWidth="1"/>
    <col min="3" max="7" width="18.28515625" customWidth="1"/>
    <col min="8" max="8" width="3" customWidth="1"/>
    <col min="9" max="9" width="13.85546875" customWidth="1"/>
    <col min="10" max="10" width="3.42578125" hidden="1" customWidth="1"/>
    <col min="11" max="11" width="4.28515625" customWidth="1"/>
    <col min="12" max="12" width="13.85546875" customWidth="1"/>
    <col min="13" max="13" width="15.28515625" hidden="1" customWidth="1"/>
    <col min="14" max="14" width="4.28515625" customWidth="1"/>
    <col min="15" max="16" width="5.140625" hidden="1" customWidth="1"/>
    <col min="17" max="17" width="3" customWidth="1"/>
    <col min="18" max="18" width="5.140625" hidden="1" customWidth="1"/>
    <col min="19" max="21" width="18.28515625" customWidth="1"/>
    <col min="22" max="22" width="3" customWidth="1"/>
    <col min="23" max="23" width="28" customWidth="1"/>
    <col min="24" max="24" width="25.42578125" customWidth="1"/>
    <col min="25" max="25" width="2" customWidth="1"/>
    <col min="26" max="26" width="5" customWidth="1"/>
    <col min="27" max="27" width="7.5703125" customWidth="1"/>
  </cols>
  <sheetData>
    <row r="1" spans="1:255" s="2" customFormat="1" ht="20.25" customHeight="1" x14ac:dyDescent="0.2"/>
    <row r="2" spans="1:255" ht="25.5" customHeight="1" x14ac:dyDescent="0.35">
      <c r="B2" s="67"/>
      <c r="C2" s="67" t="s">
        <v>57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255" ht="18" x14ac:dyDescent="0.25">
      <c r="A4" s="2"/>
      <c r="B4" s="48"/>
      <c r="C4" s="49" t="s">
        <v>58</v>
      </c>
      <c r="D4" s="48"/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255" ht="18" x14ac:dyDescent="0.25">
      <c r="A5" s="2"/>
      <c r="B5" s="48"/>
      <c r="C5" s="57" t="s">
        <v>59</v>
      </c>
      <c r="D5" s="48"/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255" ht="18" x14ac:dyDescent="0.25">
      <c r="A6" s="2"/>
      <c r="B6" s="48"/>
      <c r="C6" s="49" t="s">
        <v>60</v>
      </c>
      <c r="D6" s="48"/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255" ht="18" x14ac:dyDescent="0.25">
      <c r="A7" s="2"/>
      <c r="B7" s="48"/>
      <c r="C7" s="49" t="s">
        <v>61</v>
      </c>
      <c r="D7" s="48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255" ht="18" x14ac:dyDescent="0.25">
      <c r="A8" s="2"/>
      <c r="B8" s="48"/>
      <c r="C8" s="49" t="s">
        <v>81</v>
      </c>
      <c r="D8" s="48"/>
      <c r="E8" s="48"/>
      <c r="F8" s="96">
        <v>0.15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255" ht="18" x14ac:dyDescent="0.25">
      <c r="A9" s="2"/>
      <c r="B9" s="48"/>
      <c r="C9" s="49" t="s">
        <v>62</v>
      </c>
      <c r="D9" s="48"/>
      <c r="E9" s="47"/>
      <c r="F9" s="96">
        <v>0.15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255" ht="9.75" customHeight="1" x14ac:dyDescent="0.25">
      <c r="A10" s="2"/>
      <c r="B10" s="48"/>
      <c r="C10" s="49"/>
      <c r="D10" s="48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255" ht="6.75" customHeight="1" x14ac:dyDescent="0.2">
      <c r="A11" s="2"/>
      <c r="B11" s="2"/>
      <c r="C11" s="45"/>
      <c r="D11" s="45"/>
      <c r="E11" s="45"/>
      <c r="F11" s="45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255" ht="15.75" customHeight="1" x14ac:dyDescent="0.2">
      <c r="A12" s="2"/>
      <c r="B12" s="4"/>
      <c r="C12" s="6"/>
      <c r="D12" s="6"/>
      <c r="E12" s="6"/>
      <c r="F12" s="6"/>
      <c r="G12" s="6"/>
      <c r="H12" s="6"/>
      <c r="I12" s="164"/>
      <c r="J12" s="164"/>
      <c r="K12" s="164"/>
      <c r="L12" s="164"/>
      <c r="M12" s="6"/>
      <c r="N12" s="6"/>
      <c r="O12" s="6"/>
      <c r="P12" s="6"/>
      <c r="Q12" s="6"/>
      <c r="R12" s="6"/>
      <c r="S12" s="6"/>
      <c r="T12" s="6"/>
      <c r="U12" s="6"/>
      <c r="V12" s="4"/>
      <c r="W12" s="7"/>
      <c r="X12" s="7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255" s="1" customFormat="1" ht="57.75" customHeight="1" x14ac:dyDescent="0.2">
      <c r="A13" s="3"/>
      <c r="B13" s="4"/>
      <c r="C13" s="18" t="s">
        <v>8</v>
      </c>
      <c r="D13" s="19" t="s">
        <v>63</v>
      </c>
      <c r="E13" s="19" t="s">
        <v>64</v>
      </c>
      <c r="F13" s="18" t="str">
        <f>"30th June 2024 fee (co-payment) (incl GST @ "&amp;TEXT(PreviousGSTRate,"#0.0%")&amp;")"</f>
        <v>30th June 2024 fee (co-payment) (incl GST @ 15.0%)</v>
      </c>
      <c r="G13" s="18" t="s">
        <v>79</v>
      </c>
      <c r="H13" s="7"/>
      <c r="I13" s="165" t="s">
        <v>65</v>
      </c>
      <c r="J13" s="166"/>
      <c r="K13" s="167"/>
      <c r="L13" s="165" t="s">
        <v>66</v>
      </c>
      <c r="M13" s="166"/>
      <c r="N13" s="167"/>
      <c r="O13" s="20"/>
      <c r="P13" s="20"/>
      <c r="Q13" s="70"/>
      <c r="R13" s="7"/>
      <c r="S13" s="18" t="str">
        <f>"Proposed co-payment fee (incl GST @ " &amp; TEXT(CopaymentGSTRate,"##.0%") &amp; ")"</f>
        <v>Proposed co-payment fee (incl GST @ 15.0%)</v>
      </c>
      <c r="T13" s="19" t="s">
        <v>67</v>
      </c>
      <c r="U13" s="19" t="s">
        <v>68</v>
      </c>
      <c r="V13" s="4"/>
      <c r="W13" s="18" t="s">
        <v>69</v>
      </c>
      <c r="X13" s="18" t="s">
        <v>70</v>
      </c>
      <c r="Y13" s="4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255" s="1" customFormat="1" ht="17.100000000000001" customHeight="1" x14ac:dyDescent="0.2">
      <c r="A14" s="3"/>
      <c r="B14" s="4"/>
      <c r="C14" s="8"/>
      <c r="D14" s="149"/>
      <c r="E14" s="9"/>
      <c r="F14" s="10"/>
      <c r="G14" s="11"/>
      <c r="H14" s="11"/>
      <c r="I14" s="12"/>
      <c r="J14" s="5"/>
      <c r="K14" s="13"/>
      <c r="L14" s="13"/>
      <c r="M14" s="13"/>
      <c r="N14" s="13"/>
      <c r="O14" s="13"/>
      <c r="P14" s="13"/>
      <c r="Q14" s="71"/>
      <c r="R14" s="64" t="str">
        <f>IF(U15&lt;0,"Under 6 age group won't count towards total co-payment adjustment","")</f>
        <v/>
      </c>
      <c r="S14" s="169" t="str">
        <f>IF(S15&lt;=0,"Under 6 age group won't count towards total co-payment adjustment","")</f>
        <v>Under 6 age group won't count towards total co-payment adjustment</v>
      </c>
      <c r="T14" s="169"/>
      <c r="U14" s="170"/>
      <c r="V14" s="170"/>
      <c r="W14" s="170"/>
      <c r="X14" s="170"/>
      <c r="Y14" s="4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255" ht="15" customHeight="1" x14ac:dyDescent="0.2">
      <c r="A15" s="2"/>
      <c r="B15" s="4"/>
      <c r="C15" s="28" t="s">
        <v>12</v>
      </c>
      <c r="D15" s="60">
        <f>'Revenue Split'!D18</f>
        <v>0</v>
      </c>
      <c r="E15" s="68">
        <f>'Revenue Split'!E18</f>
        <v>0</v>
      </c>
      <c r="F15" s="61">
        <f>'Revenue Split'!F18</f>
        <v>0</v>
      </c>
      <c r="G15" s="61">
        <f>'Revenue Split'!G18</f>
        <v>0</v>
      </c>
      <c r="H15" s="11"/>
      <c r="I15" s="81">
        <f>(J15-1000)/10</f>
        <v>0</v>
      </c>
      <c r="J15" s="80">
        <v>1000</v>
      </c>
      <c r="K15" s="26"/>
      <c r="L15" s="108">
        <f>(M15-1000)/1000</f>
        <v>0</v>
      </c>
      <c r="M15" s="80">
        <v>1000</v>
      </c>
      <c r="N15" s="22"/>
      <c r="O15" s="23">
        <f>IF(I15&lt;&gt;0,1,0)</f>
        <v>0</v>
      </c>
      <c r="P15" s="23">
        <f>IF(L15&lt;&gt;0,1,0)</f>
        <v>0</v>
      </c>
      <c r="Q15" s="72" t="b">
        <f>IF(SUM(O15:P15)&gt;1,TRUE)</f>
        <v>0</v>
      </c>
      <c r="R15" s="6"/>
      <c r="S15" s="24">
        <f>IF(I15=0,(F15*(1+L15)),F15+I15)</f>
        <v>0</v>
      </c>
      <c r="T15" s="24">
        <f>S15/(1+CopaymentGSTRate)</f>
        <v>0</v>
      </c>
      <c r="U15" s="77" t="str">
        <f>IF(G15=0,"n/a",(T15/G15-1))</f>
        <v>n/a</v>
      </c>
      <c r="V15" s="4"/>
      <c r="W15" s="24">
        <f>E15*G15</f>
        <v>0</v>
      </c>
      <c r="X15" s="24">
        <f>E15*T15</f>
        <v>0</v>
      </c>
      <c r="Y15" s="4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255" ht="17.100000000000001" customHeight="1" x14ac:dyDescent="0.2">
      <c r="A16" s="2"/>
      <c r="B16" s="4"/>
      <c r="C16" s="8"/>
      <c r="D16" s="149"/>
      <c r="E16" s="9"/>
      <c r="F16" s="10"/>
      <c r="G16" s="11"/>
      <c r="H16" s="11"/>
      <c r="I16" s="12"/>
      <c r="J16" s="5"/>
      <c r="K16" s="13"/>
      <c r="L16" s="13"/>
      <c r="M16" s="13"/>
      <c r="N16" s="13"/>
      <c r="O16" s="13"/>
      <c r="P16" s="13"/>
      <c r="Q16" s="71"/>
      <c r="R16" s="64" t="str">
        <f>IF(U17&lt;0,"Under 6 age group won't count towards total co-payment adjustment","")</f>
        <v/>
      </c>
      <c r="S16" s="169" t="str">
        <f>IF(S17&lt;=0,"Under 13 age group won't count towards total co-payment adjustment","")</f>
        <v>Under 13 age group won't count towards total co-payment adjustment</v>
      </c>
      <c r="T16" s="169"/>
      <c r="U16" s="170"/>
      <c r="V16" s="170"/>
      <c r="W16" s="170"/>
      <c r="X16" s="170"/>
      <c r="Y16" s="4"/>
      <c r="Z16" s="99"/>
      <c r="AA16" s="99"/>
      <c r="AB16" s="99"/>
      <c r="AC16" s="99"/>
      <c r="AD16" s="2"/>
      <c r="AE16" s="2"/>
      <c r="AF16" s="2"/>
      <c r="AG16" s="2"/>
      <c r="AH16" s="2"/>
      <c r="AI16" s="2"/>
    </row>
    <row r="17" spans="1:35" ht="15" customHeight="1" x14ac:dyDescent="0.2">
      <c r="A17" s="2"/>
      <c r="B17" s="4"/>
      <c r="C17" s="28" t="s">
        <v>13</v>
      </c>
      <c r="D17" s="60">
        <f>'Revenue Split'!D20</f>
        <v>0</v>
      </c>
      <c r="E17" s="68">
        <f>'Revenue Split'!E20</f>
        <v>0</v>
      </c>
      <c r="F17" s="61">
        <f>'Revenue Split'!F20</f>
        <v>0</v>
      </c>
      <c r="G17" s="61">
        <f>'Revenue Split'!G20</f>
        <v>0</v>
      </c>
      <c r="H17" s="11"/>
      <c r="I17" s="81">
        <f>(J17-1000)/10</f>
        <v>0</v>
      </c>
      <c r="J17" s="80">
        <v>1000</v>
      </c>
      <c r="K17" s="26"/>
      <c r="L17" s="108">
        <f>(M17-1000)/1000</f>
        <v>0</v>
      </c>
      <c r="M17" s="80">
        <v>1000</v>
      </c>
      <c r="N17" s="22"/>
      <c r="O17" s="23">
        <f>IF(I17&lt;&gt;0,1,0)</f>
        <v>0</v>
      </c>
      <c r="P17" s="23">
        <f>IF(L17&lt;&gt;0,1,0)</f>
        <v>0</v>
      </c>
      <c r="Q17" s="72" t="b">
        <f>IF(SUM(O17:P17)&gt;1,TRUE)</f>
        <v>0</v>
      </c>
      <c r="R17" s="6"/>
      <c r="S17" s="24">
        <f>IF(I17=0,(F17*(1+L17)),F17+I17)</f>
        <v>0</v>
      </c>
      <c r="T17" s="24">
        <f>S17/(1+CopaymentGSTRate)</f>
        <v>0</v>
      </c>
      <c r="U17" s="77" t="str">
        <f>IF(G17=0,"n/a",(T17/G17-1))</f>
        <v>n/a</v>
      </c>
      <c r="V17" s="4"/>
      <c r="W17" s="24">
        <f>E17*G17</f>
        <v>0</v>
      </c>
      <c r="X17" s="24">
        <f>E17*T17</f>
        <v>0</v>
      </c>
      <c r="Y17" s="4"/>
      <c r="Z17" s="99"/>
      <c r="AA17" s="104"/>
      <c r="AB17" s="99"/>
      <c r="AC17" s="99"/>
      <c r="AD17" s="2"/>
      <c r="AE17" s="2"/>
      <c r="AF17" s="2"/>
      <c r="AG17" s="2"/>
      <c r="AH17" s="2"/>
      <c r="AI17" s="2"/>
    </row>
    <row r="18" spans="1:35" ht="15" customHeight="1" x14ac:dyDescent="0.2">
      <c r="A18" s="2"/>
      <c r="B18" s="4"/>
      <c r="C18" s="8"/>
      <c r="D18" s="62"/>
      <c r="E18" s="69"/>
      <c r="F18" s="63"/>
      <c r="G18" s="95"/>
      <c r="H18" s="11"/>
      <c r="I18" s="17"/>
      <c r="J18" s="15"/>
      <c r="K18" s="13"/>
      <c r="L18" s="16"/>
      <c r="M18" s="13"/>
      <c r="N18" s="13"/>
      <c r="O18" s="13"/>
      <c r="P18" s="13"/>
      <c r="Q18" s="71"/>
      <c r="R18" s="6"/>
      <c r="S18" s="12"/>
      <c r="T18" s="12"/>
      <c r="U18" s="12"/>
      <c r="V18" s="4"/>
      <c r="W18" s="76"/>
      <c r="X18" s="76"/>
      <c r="Y18" s="4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" customHeight="1" x14ac:dyDescent="0.2">
      <c r="A19" s="2"/>
      <c r="B19" s="4"/>
      <c r="C19" s="21" t="s">
        <v>14</v>
      </c>
      <c r="D19" s="60">
        <f>'Revenue Split'!D22</f>
        <v>0</v>
      </c>
      <c r="E19" s="68">
        <f>'Revenue Split'!E22</f>
        <v>0</v>
      </c>
      <c r="F19" s="61">
        <f>'Revenue Split'!F22</f>
        <v>0</v>
      </c>
      <c r="G19" s="61">
        <f>'Revenue Split'!G22</f>
        <v>0</v>
      </c>
      <c r="H19" s="11"/>
      <c r="I19" s="81">
        <f>(J19-1000)/10</f>
        <v>0</v>
      </c>
      <c r="J19" s="80">
        <v>1000</v>
      </c>
      <c r="K19" s="27"/>
      <c r="L19" s="108">
        <f>(M19-1000)/1000</f>
        <v>0</v>
      </c>
      <c r="M19" s="80">
        <v>1000</v>
      </c>
      <c r="N19" s="25"/>
      <c r="O19" s="23">
        <f>IF(I19&lt;&gt;0,1,0)</f>
        <v>0</v>
      </c>
      <c r="P19" s="23">
        <f>IF(L19&lt;&gt;0,1,0)</f>
        <v>0</v>
      </c>
      <c r="Q19" s="72" t="b">
        <f>IF(SUM(O19:P19)&gt;1,TRUE)</f>
        <v>0</v>
      </c>
      <c r="R19" s="6"/>
      <c r="S19" s="24">
        <f>IF(I19=0,(F19*(1+L19)),F19+I19)</f>
        <v>0</v>
      </c>
      <c r="T19" s="24">
        <f>S19/(1+CopaymentGSTRate)</f>
        <v>0</v>
      </c>
      <c r="U19" s="77" t="str">
        <f>IF(G19=0,"n/a",(T19/G19-1))</f>
        <v>n/a</v>
      </c>
      <c r="V19" s="4"/>
      <c r="W19" s="24">
        <f>E19*G19</f>
        <v>0</v>
      </c>
      <c r="X19" s="24">
        <f>E19*T19</f>
        <v>0</v>
      </c>
      <c r="Y19" s="4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5" customHeight="1" x14ac:dyDescent="0.2">
      <c r="A20" s="2"/>
      <c r="B20" s="4"/>
      <c r="C20" s="8"/>
      <c r="D20" s="62"/>
      <c r="E20" s="69"/>
      <c r="F20" s="63"/>
      <c r="G20" s="95"/>
      <c r="H20" s="11"/>
      <c r="I20" s="17"/>
      <c r="J20" s="15"/>
      <c r="K20" s="13"/>
      <c r="L20" s="16"/>
      <c r="M20" s="13"/>
      <c r="N20" s="13"/>
      <c r="O20" s="13"/>
      <c r="P20" s="13"/>
      <c r="Q20" s="71"/>
      <c r="R20" s="6"/>
      <c r="S20" s="12"/>
      <c r="T20" s="12"/>
      <c r="U20" s="14"/>
      <c r="V20" s="4"/>
      <c r="W20" s="76"/>
      <c r="X20" s="76"/>
      <c r="Y20" s="4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5" customHeight="1" x14ac:dyDescent="0.2">
      <c r="A21" s="2"/>
      <c r="B21" s="4"/>
      <c r="C21" s="21" t="s">
        <v>15</v>
      </c>
      <c r="D21" s="60">
        <f>'Revenue Split'!D24</f>
        <v>0</v>
      </c>
      <c r="E21" s="68">
        <f>'Revenue Split'!E24</f>
        <v>0</v>
      </c>
      <c r="F21" s="61">
        <f>'Revenue Split'!F24</f>
        <v>0</v>
      </c>
      <c r="G21" s="61">
        <f>'Revenue Split'!G24</f>
        <v>0</v>
      </c>
      <c r="H21" s="11"/>
      <c r="I21" s="81">
        <f>(J21-1000)/10</f>
        <v>0</v>
      </c>
      <c r="J21" s="80">
        <v>1000</v>
      </c>
      <c r="K21" s="26"/>
      <c r="L21" s="108">
        <f>(M21-1000)/1000</f>
        <v>0</v>
      </c>
      <c r="M21" s="80">
        <v>1000</v>
      </c>
      <c r="N21" s="22"/>
      <c r="O21" s="23">
        <f>IF(I21&lt;&gt;0,1,0)</f>
        <v>0</v>
      </c>
      <c r="P21" s="23">
        <f>IF(L21&lt;&gt;0,1,0)</f>
        <v>0</v>
      </c>
      <c r="Q21" s="72" t="b">
        <f>IF(SUM(O21:P21)&gt;1,TRUE)</f>
        <v>0</v>
      </c>
      <c r="R21" s="6"/>
      <c r="S21" s="24">
        <f>IF(I21=0,(F21*(1+L21)),F21+I21)</f>
        <v>0</v>
      </c>
      <c r="T21" s="24">
        <f>S21/(1+CopaymentGSTRate)</f>
        <v>0</v>
      </c>
      <c r="U21" s="77" t="str">
        <f>IF(G21=0,"n/a",(T21/G21-1))</f>
        <v>n/a</v>
      </c>
      <c r="V21" s="4"/>
      <c r="W21" s="24">
        <f>E21*G21</f>
        <v>0</v>
      </c>
      <c r="X21" s="24">
        <f>E21*T21</f>
        <v>0</v>
      </c>
      <c r="Y21" s="4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5" customHeight="1" x14ac:dyDescent="0.2">
      <c r="A22" s="2"/>
      <c r="B22" s="4"/>
      <c r="C22" s="8"/>
      <c r="D22" s="62"/>
      <c r="E22" s="69"/>
      <c r="F22" s="63"/>
      <c r="G22" s="95"/>
      <c r="H22" s="11"/>
      <c r="I22" s="17"/>
      <c r="J22" s="15"/>
      <c r="K22" s="13"/>
      <c r="L22" s="16"/>
      <c r="M22" s="13"/>
      <c r="N22" s="13"/>
      <c r="O22" s="13"/>
      <c r="P22" s="13"/>
      <c r="Q22" s="71"/>
      <c r="R22" s="6"/>
      <c r="S22" s="12"/>
      <c r="T22" s="12"/>
      <c r="U22" s="14"/>
      <c r="V22" s="4"/>
      <c r="W22" s="76"/>
      <c r="X22" s="76"/>
      <c r="Y22" s="4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" customHeight="1" x14ac:dyDescent="0.2">
      <c r="A23" s="2"/>
      <c r="B23" s="4"/>
      <c r="C23" s="21" t="s">
        <v>16</v>
      </c>
      <c r="D23" s="60">
        <f>'Revenue Split'!D26</f>
        <v>0</v>
      </c>
      <c r="E23" s="68">
        <f>'Revenue Split'!E26</f>
        <v>0</v>
      </c>
      <c r="F23" s="61">
        <f>'Revenue Split'!F26</f>
        <v>0</v>
      </c>
      <c r="G23" s="61">
        <f>'Revenue Split'!G26</f>
        <v>0</v>
      </c>
      <c r="H23" s="11"/>
      <c r="I23" s="81">
        <f>(J23-1000)/10</f>
        <v>0</v>
      </c>
      <c r="J23" s="80">
        <v>1000</v>
      </c>
      <c r="K23" s="26"/>
      <c r="L23" s="108">
        <f>(M23-1000)/1000</f>
        <v>0</v>
      </c>
      <c r="M23" s="80">
        <v>1000</v>
      </c>
      <c r="N23" s="22"/>
      <c r="O23" s="23">
        <f>IF(I23&lt;&gt;0,1,0)</f>
        <v>0</v>
      </c>
      <c r="P23" s="23">
        <f>IF(L23&lt;&gt;0,1,0)</f>
        <v>0</v>
      </c>
      <c r="Q23" s="72" t="b">
        <f>IF(SUM(O23:P23)&gt;1,TRUE)</f>
        <v>0</v>
      </c>
      <c r="R23" s="6"/>
      <c r="S23" s="24">
        <f>IF(I23=0,(F23*(1+L23)),F23+I23)</f>
        <v>0</v>
      </c>
      <c r="T23" s="24">
        <f>S23/(1+CopaymentGSTRate)</f>
        <v>0</v>
      </c>
      <c r="U23" s="77" t="str">
        <f>IF(G23=0,"n/a",(T23/G23-1))</f>
        <v>n/a</v>
      </c>
      <c r="V23" s="4"/>
      <c r="W23" s="24">
        <f>E23*G23</f>
        <v>0</v>
      </c>
      <c r="X23" s="24">
        <f>E23*T23</f>
        <v>0</v>
      </c>
      <c r="Y23" s="4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5" customHeight="1" x14ac:dyDescent="0.2">
      <c r="A24" s="2"/>
      <c r="B24" s="4"/>
      <c r="C24" s="8"/>
      <c r="D24" s="62"/>
      <c r="E24" s="69"/>
      <c r="F24" s="63"/>
      <c r="G24" s="95"/>
      <c r="H24" s="11"/>
      <c r="I24" s="17"/>
      <c r="J24" s="15"/>
      <c r="K24" s="13"/>
      <c r="L24" s="16"/>
      <c r="M24" s="13"/>
      <c r="N24" s="13"/>
      <c r="O24" s="13"/>
      <c r="P24" s="13"/>
      <c r="Q24" s="71"/>
      <c r="R24" s="6"/>
      <c r="S24" s="12"/>
      <c r="T24" s="12"/>
      <c r="U24" s="14"/>
      <c r="V24" s="4"/>
      <c r="W24" s="76"/>
      <c r="X24" s="76"/>
      <c r="Y24" s="4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5" customHeight="1" x14ac:dyDescent="0.2">
      <c r="A25" s="2"/>
      <c r="B25" s="4"/>
      <c r="C25" s="21" t="s">
        <v>17</v>
      </c>
      <c r="D25" s="60">
        <f>'Revenue Split'!D28</f>
        <v>0</v>
      </c>
      <c r="E25" s="68">
        <f>'Revenue Split'!E28</f>
        <v>0</v>
      </c>
      <c r="F25" s="61">
        <f>'Revenue Split'!F28</f>
        <v>0</v>
      </c>
      <c r="G25" s="61">
        <f>'Revenue Split'!G28</f>
        <v>0</v>
      </c>
      <c r="H25" s="11"/>
      <c r="I25" s="81">
        <f>(J25-1000)/10</f>
        <v>0</v>
      </c>
      <c r="J25" s="80">
        <v>1000</v>
      </c>
      <c r="K25" s="26"/>
      <c r="L25" s="108">
        <f>(M25-1000)/1000</f>
        <v>0</v>
      </c>
      <c r="M25" s="80">
        <v>1000</v>
      </c>
      <c r="N25" s="22"/>
      <c r="O25" s="23">
        <f>IF(I25&lt;&gt;0,1,0)</f>
        <v>0</v>
      </c>
      <c r="P25" s="23">
        <f>IF(L25&lt;&gt;0,1,0)</f>
        <v>0</v>
      </c>
      <c r="Q25" s="72" t="b">
        <f>IF(SUM(O25:P25)&gt;1,TRUE)</f>
        <v>0</v>
      </c>
      <c r="R25" s="6"/>
      <c r="S25" s="24">
        <f>IF(I25=0,(F25*(1+L25)),F25+I25)</f>
        <v>0</v>
      </c>
      <c r="T25" s="24">
        <f>S25/(1+CopaymentGSTRate)</f>
        <v>0</v>
      </c>
      <c r="U25" s="77" t="str">
        <f>IF(G25=0,"n/a",(T25/G25-1))</f>
        <v>n/a</v>
      </c>
      <c r="V25" s="4"/>
      <c r="W25" s="24">
        <f>E25*G25</f>
        <v>0</v>
      </c>
      <c r="X25" s="24">
        <f>E25*T25</f>
        <v>0</v>
      </c>
      <c r="Y25" s="4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5" customHeight="1" x14ac:dyDescent="0.2">
      <c r="A26" s="2"/>
      <c r="B26" s="4"/>
      <c r="C26" s="8"/>
      <c r="D26" s="62"/>
      <c r="E26" s="69"/>
      <c r="F26" s="63"/>
      <c r="G26" s="95"/>
      <c r="H26" s="11"/>
      <c r="I26" s="17"/>
      <c r="J26" s="15"/>
      <c r="K26" s="13"/>
      <c r="L26" s="16"/>
      <c r="M26" s="13"/>
      <c r="N26" s="13"/>
      <c r="O26" s="13"/>
      <c r="P26" s="13"/>
      <c r="Q26" s="71"/>
      <c r="R26" s="6"/>
      <c r="S26" s="12"/>
      <c r="T26" s="12"/>
      <c r="U26" s="14"/>
      <c r="V26" s="4"/>
      <c r="W26" s="76"/>
      <c r="X26" s="76"/>
      <c r="Y26" s="4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5" customHeight="1" x14ac:dyDescent="0.2">
      <c r="A27" s="2"/>
      <c r="B27" s="4"/>
      <c r="C27" s="21" t="s">
        <v>18</v>
      </c>
      <c r="D27" s="60">
        <f>'Revenue Split'!D30</f>
        <v>0</v>
      </c>
      <c r="E27" s="68">
        <f>'Revenue Split'!E30</f>
        <v>0</v>
      </c>
      <c r="F27" s="61">
        <f>'Revenue Split'!F30</f>
        <v>0</v>
      </c>
      <c r="G27" s="61">
        <f>'Revenue Split'!G30</f>
        <v>0</v>
      </c>
      <c r="H27" s="11"/>
      <c r="I27" s="81">
        <f>(J27-1000)/10</f>
        <v>0</v>
      </c>
      <c r="J27" s="80">
        <v>1000</v>
      </c>
      <c r="K27" s="26"/>
      <c r="L27" s="108">
        <f>(M27-1000)/1000</f>
        <v>0</v>
      </c>
      <c r="M27" s="80">
        <v>1000</v>
      </c>
      <c r="N27" s="22"/>
      <c r="O27" s="23">
        <f>IF(I27&lt;&gt;0,1,0)</f>
        <v>0</v>
      </c>
      <c r="P27" s="23">
        <f>IF(L27&lt;&gt;0,1,0)</f>
        <v>0</v>
      </c>
      <c r="Q27" s="72" t="b">
        <f>IF(SUM(O27:P27)&gt;1,TRUE)</f>
        <v>0</v>
      </c>
      <c r="R27" s="6"/>
      <c r="S27" s="24">
        <f>IF(I27=0,(F27*(1+L27)),F27+I27)</f>
        <v>0</v>
      </c>
      <c r="T27" s="24">
        <f>S27/(1+CopaymentGSTRate)</f>
        <v>0</v>
      </c>
      <c r="U27" s="77" t="str">
        <f>IF(G27=0,"n/a",(T27/G27-1))</f>
        <v>n/a</v>
      </c>
      <c r="V27" s="4"/>
      <c r="W27" s="24">
        <f>E27*G27</f>
        <v>0</v>
      </c>
      <c r="X27" s="24">
        <f>E27*T27</f>
        <v>0</v>
      </c>
      <c r="Y27" s="4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5" customHeight="1" x14ac:dyDescent="0.2">
      <c r="A28" s="2"/>
      <c r="B28" s="4"/>
      <c r="C28" s="8"/>
      <c r="D28" s="73"/>
      <c r="E28" s="74"/>
      <c r="F28" s="75"/>
      <c r="G28" s="75"/>
      <c r="H28" s="11"/>
      <c r="I28" s="171" t="str">
        <f>IF(OR(Q15,Q17,Q19,Q21,Q23,Q25,Q27),"You can change the co-payment by % OR $ but not both","")</f>
        <v/>
      </c>
      <c r="J28" s="171"/>
      <c r="K28" s="171"/>
      <c r="L28" s="171"/>
      <c r="M28" s="171"/>
      <c r="N28" s="171"/>
      <c r="O28" s="171"/>
      <c r="P28" s="171"/>
      <c r="Q28" s="171"/>
      <c r="R28" s="78"/>
      <c r="S28" s="79" t="str">
        <f>IF(OR(S15&lt;0,S17&lt;0, S19&lt;0,S21&lt;0,S23&lt;0,S25&lt;0,S27&lt;0),"Fees must be greater than zero","")</f>
        <v/>
      </c>
      <c r="T28" s="79"/>
      <c r="U28" s="78"/>
      <c r="V28" s="4"/>
      <c r="W28" s="11"/>
      <c r="X28" s="11"/>
      <c r="Y28" s="4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s="122" customFormat="1" ht="20.100000000000001" customHeight="1" x14ac:dyDescent="0.2">
      <c r="A29" s="114"/>
      <c r="B29" s="111"/>
      <c r="C29" s="115"/>
      <c r="D29" s="116"/>
      <c r="E29" s="117"/>
      <c r="F29" s="111"/>
      <c r="G29" s="118"/>
      <c r="H29" s="119"/>
      <c r="I29" s="171"/>
      <c r="J29" s="171"/>
      <c r="K29" s="171"/>
      <c r="L29" s="171"/>
      <c r="M29" s="171"/>
      <c r="N29" s="171"/>
      <c r="O29" s="171"/>
      <c r="P29" s="171"/>
      <c r="Q29" s="171"/>
      <c r="R29" s="120"/>
      <c r="S29" s="109"/>
      <c r="T29" s="109"/>
      <c r="U29" s="120"/>
      <c r="V29" s="111"/>
      <c r="W29" s="121" t="s">
        <v>71</v>
      </c>
      <c r="X29" s="121" t="s">
        <v>72</v>
      </c>
      <c r="Y29" s="111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</row>
    <row r="30" spans="1:35" s="122" customFormat="1" ht="20.100000000000001" customHeight="1" x14ac:dyDescent="0.2">
      <c r="A30" s="114"/>
      <c r="B30" s="123"/>
      <c r="C30" s="111"/>
      <c r="D30" s="111"/>
      <c r="E30" s="111"/>
      <c r="F30" s="111"/>
      <c r="G30" s="118"/>
      <c r="H30" s="111"/>
      <c r="I30" s="111"/>
      <c r="J30" s="121"/>
      <c r="K30" s="111"/>
      <c r="L30" s="112" t="s">
        <v>73</v>
      </c>
      <c r="M30" s="113"/>
      <c r="N30" s="113"/>
      <c r="O30" s="113"/>
      <c r="P30" s="113"/>
      <c r="Q30" s="113"/>
      <c r="R30" s="113"/>
      <c r="S30" s="124"/>
      <c r="T30" s="124"/>
      <c r="U30" s="113"/>
      <c r="V30" s="111"/>
      <c r="W30" s="130">
        <f>SUM(W15:W27)</f>
        <v>0</v>
      </c>
      <c r="X30" s="130">
        <f>SUM(X15:X27)</f>
        <v>0</v>
      </c>
      <c r="Y30" s="153" t="e">
        <f>X30/W30-1</f>
        <v>#DIV/0!</v>
      </c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</row>
    <row r="31" spans="1:35" s="122" customFormat="1" ht="20.100000000000001" hidden="1" customHeight="1" x14ac:dyDescent="0.2">
      <c r="A31" s="114"/>
      <c r="B31" s="123"/>
      <c r="C31" s="111"/>
      <c r="D31" s="111"/>
      <c r="E31" s="111"/>
      <c r="F31" s="111"/>
      <c r="G31" s="111"/>
      <c r="H31" s="111"/>
      <c r="I31" s="111"/>
      <c r="J31" s="121"/>
      <c r="K31" s="111"/>
      <c r="L31" s="113"/>
      <c r="M31" s="113"/>
      <c r="N31" s="113"/>
      <c r="O31" s="113"/>
      <c r="P31" s="113"/>
      <c r="Q31" s="113"/>
      <c r="R31" s="113"/>
      <c r="S31" s="125"/>
      <c r="T31" s="125"/>
      <c r="U31" s="113"/>
      <c r="V31" s="111"/>
      <c r="W31" s="135">
        <f>SUM(W$19:W$27)+SUMIF($S$15:$S$17,"&gt;0",W$15:W$17)</f>
        <v>0</v>
      </c>
      <c r="X31" s="135">
        <f>SUM(X$19:X$27)+SUMIF($S$15:$S$17,"&gt;0",X$15:X$17)</f>
        <v>0</v>
      </c>
      <c r="Y31" s="123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</row>
    <row r="32" spans="1:35" s="122" customFormat="1" ht="20.100000000000001" customHeight="1" x14ac:dyDescent="0.2">
      <c r="A32" s="114"/>
      <c r="B32" s="109"/>
      <c r="C32" s="111"/>
      <c r="D32" s="111"/>
      <c r="E32" s="111"/>
      <c r="F32" s="111"/>
      <c r="G32" s="111"/>
      <c r="H32" s="111"/>
      <c r="I32" s="111"/>
      <c r="J32" s="110"/>
      <c r="K32" s="111"/>
      <c r="L32" s="112" t="s">
        <v>74</v>
      </c>
      <c r="M32" s="113"/>
      <c r="N32" s="113"/>
      <c r="O32" s="113"/>
      <c r="P32" s="113"/>
      <c r="Q32" s="113"/>
      <c r="R32" s="113"/>
      <c r="S32" s="113"/>
      <c r="T32" s="113"/>
      <c r="U32" s="113"/>
      <c r="V32" s="126"/>
      <c r="W32" s="136" t="str">
        <f>IF(W31=0,"n/a",(X31/W31-1))</f>
        <v>n/a</v>
      </c>
      <c r="X32" s="137"/>
      <c r="Y32" s="109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</row>
    <row r="33" spans="1:35" s="122" customFormat="1" ht="20.100000000000001" customHeight="1" x14ac:dyDescent="0.2">
      <c r="A33" s="114"/>
      <c r="B33" s="109"/>
      <c r="C33" s="111"/>
      <c r="D33" s="111"/>
      <c r="E33" s="111"/>
      <c r="F33" s="111"/>
      <c r="G33" s="111"/>
      <c r="H33" s="111"/>
      <c r="I33" s="111"/>
      <c r="J33" s="110"/>
      <c r="K33" s="111"/>
      <c r="L33" s="112" t="s">
        <v>75</v>
      </c>
      <c r="M33" s="113"/>
      <c r="N33" s="113"/>
      <c r="O33" s="113"/>
      <c r="P33" s="113"/>
      <c r="Q33" s="113"/>
      <c r="R33" s="112" t="str">
        <f>'Annual Statement Summary'!D39</f>
        <v>2008/09</v>
      </c>
      <c r="S33" s="113"/>
      <c r="T33" s="113"/>
      <c r="U33" s="128" t="str">
        <f>'Annual Statement Summary'!D59</f>
        <v>2024/25</v>
      </c>
      <c r="V33" s="127"/>
      <c r="W33" s="138">
        <f>'Annual Statement Summary'!E59</f>
        <v>7.7600000000000002E-2</v>
      </c>
      <c r="X33" s="137"/>
      <c r="Y33" s="109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</row>
    <row r="34" spans="1:35" ht="15" customHeight="1" x14ac:dyDescent="0.2">
      <c r="A34" s="2"/>
      <c r="B34" s="4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4"/>
      <c r="X34" s="44"/>
      <c r="Y34" s="44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3.25" customHeight="1" x14ac:dyDescent="0.2">
      <c r="A35" s="2"/>
      <c r="B35" s="44"/>
      <c r="C35" s="5"/>
      <c r="D35" s="4"/>
      <c r="E35" s="66" t="s">
        <v>76</v>
      </c>
      <c r="F35" s="66"/>
      <c r="G35" s="66"/>
      <c r="H35" s="4"/>
      <c r="I35" s="168" t="str">
        <f>IF(AND(ISNUMBER(W32),W32&gt;W33),"Revenue % change exceeds co-payment annual statement","Revenue % change within co-payment annual statement")</f>
        <v>Revenue % change within co-payment annual statement</v>
      </c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59"/>
      <c r="W35" s="159"/>
      <c r="X35" s="159"/>
      <c r="Y35" s="44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9" customHeight="1" x14ac:dyDescent="0.2">
      <c r="A36" s="2"/>
      <c r="B36" s="44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 x14ac:dyDescent="0.2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x14ac:dyDescent="0.2">
      <c r="A314" s="2"/>
      <c r="B314" s="2"/>
    </row>
    <row r="315" spans="1:35" x14ac:dyDescent="0.2">
      <c r="A315" s="2"/>
      <c r="B315" s="2"/>
    </row>
    <row r="316" spans="1:35" x14ac:dyDescent="0.2">
      <c r="A316" s="2"/>
      <c r="B316" s="2"/>
    </row>
    <row r="317" spans="1:35" x14ac:dyDescent="0.2">
      <c r="A317" s="2"/>
      <c r="B317" s="2"/>
    </row>
    <row r="318" spans="1:35" x14ac:dyDescent="0.2">
      <c r="A318" s="2"/>
      <c r="B318" s="2"/>
    </row>
    <row r="319" spans="1:35" x14ac:dyDescent="0.2">
      <c r="A319" s="2"/>
      <c r="B319" s="2"/>
    </row>
    <row r="320" spans="1:35" x14ac:dyDescent="0.2">
      <c r="A320" s="2"/>
      <c r="B320" s="2"/>
    </row>
    <row r="321" spans="1:2" x14ac:dyDescent="0.2">
      <c r="A321" s="2"/>
      <c r="B321" s="2"/>
    </row>
    <row r="322" spans="1:2" x14ac:dyDescent="0.2">
      <c r="A322" s="2"/>
      <c r="B322" s="2"/>
    </row>
    <row r="323" spans="1:2" x14ac:dyDescent="0.2">
      <c r="A323" s="2"/>
      <c r="B323" s="2"/>
    </row>
    <row r="324" spans="1:2" x14ac:dyDescent="0.2">
      <c r="A324" s="2"/>
      <c r="B324" s="2"/>
    </row>
    <row r="325" spans="1:2" x14ac:dyDescent="0.2">
      <c r="A325" s="2"/>
      <c r="B325" s="2"/>
    </row>
    <row r="326" spans="1:2" x14ac:dyDescent="0.2">
      <c r="A326" s="2"/>
      <c r="B326" s="2"/>
    </row>
    <row r="327" spans="1:2" x14ac:dyDescent="0.2">
      <c r="A327" s="2"/>
      <c r="B327" s="2"/>
    </row>
    <row r="328" spans="1:2" x14ac:dyDescent="0.2">
      <c r="A328" s="2"/>
      <c r="B328" s="2"/>
    </row>
    <row r="329" spans="1:2" x14ac:dyDescent="0.2">
      <c r="A329" s="2"/>
      <c r="B329" s="2"/>
    </row>
    <row r="330" spans="1:2" x14ac:dyDescent="0.2">
      <c r="A330" s="2"/>
      <c r="B330" s="2"/>
    </row>
    <row r="331" spans="1:2" x14ac:dyDescent="0.2">
      <c r="A331" s="2"/>
      <c r="B331" s="2"/>
    </row>
    <row r="332" spans="1:2" x14ac:dyDescent="0.2">
      <c r="A332" s="2"/>
      <c r="B332" s="2"/>
    </row>
    <row r="333" spans="1:2" x14ac:dyDescent="0.2">
      <c r="A333" s="2"/>
      <c r="B333" s="2"/>
    </row>
    <row r="334" spans="1:2" x14ac:dyDescent="0.2">
      <c r="A334" s="2"/>
      <c r="B334" s="2"/>
    </row>
    <row r="335" spans="1:2" x14ac:dyDescent="0.2">
      <c r="A335" s="2"/>
      <c r="B335" s="2"/>
    </row>
    <row r="336" spans="1:2" x14ac:dyDescent="0.2">
      <c r="A336" s="2"/>
      <c r="B336" s="2"/>
    </row>
    <row r="337" spans="1:2" x14ac:dyDescent="0.2">
      <c r="A337" s="2"/>
      <c r="B337" s="2"/>
    </row>
    <row r="338" spans="1:2" x14ac:dyDescent="0.2">
      <c r="A338" s="2"/>
      <c r="B338" s="2"/>
    </row>
    <row r="339" spans="1:2" x14ac:dyDescent="0.2">
      <c r="A339" s="2"/>
      <c r="B339" s="2"/>
    </row>
    <row r="340" spans="1:2" x14ac:dyDescent="0.2">
      <c r="A340" s="2"/>
      <c r="B340" s="2"/>
    </row>
    <row r="341" spans="1:2" x14ac:dyDescent="0.2">
      <c r="A341" s="2"/>
      <c r="B341" s="2"/>
    </row>
    <row r="342" spans="1:2" x14ac:dyDescent="0.2">
      <c r="A342" s="2"/>
      <c r="B342" s="2"/>
    </row>
    <row r="343" spans="1:2" x14ac:dyDescent="0.2">
      <c r="A343" s="2"/>
      <c r="B343" s="2"/>
    </row>
    <row r="344" spans="1:2" x14ac:dyDescent="0.2">
      <c r="A344" s="2"/>
      <c r="B344" s="2"/>
    </row>
    <row r="345" spans="1:2" x14ac:dyDescent="0.2">
      <c r="A345" s="2"/>
      <c r="B345" s="2"/>
    </row>
    <row r="346" spans="1:2" x14ac:dyDescent="0.2">
      <c r="A346" s="2"/>
      <c r="B346" s="2"/>
    </row>
    <row r="347" spans="1:2" x14ac:dyDescent="0.2">
      <c r="A347" s="2"/>
      <c r="B347" s="2"/>
    </row>
    <row r="348" spans="1:2" x14ac:dyDescent="0.2">
      <c r="A348" s="2"/>
      <c r="B348" s="2"/>
    </row>
    <row r="349" spans="1:2" x14ac:dyDescent="0.2">
      <c r="A349" s="2"/>
      <c r="B349" s="2"/>
    </row>
    <row r="350" spans="1:2" x14ac:dyDescent="0.2">
      <c r="A350" s="2"/>
      <c r="B350" s="2"/>
    </row>
    <row r="351" spans="1:2" x14ac:dyDescent="0.2">
      <c r="A351" s="2"/>
      <c r="B351" s="2"/>
    </row>
    <row r="352" spans="1:2" x14ac:dyDescent="0.2">
      <c r="A352" s="2"/>
      <c r="B352" s="2"/>
    </row>
    <row r="353" spans="1:2" x14ac:dyDescent="0.2">
      <c r="A353" s="2"/>
      <c r="B353" s="2"/>
    </row>
  </sheetData>
  <sheetProtection algorithmName="SHA-512" hashValue="BsWls91CbyiWNWDqCIvpcdAjGiK2Nnhbhs4VL4bdxv3QYm1rQr/yfrf10GVpJjiNmxUTtxvW4HUhpwOIGDTC0Q==" saltValue="NxUSBSJZQ4yX8lAVeuICrQ==" spinCount="100000" sheet="1" objects="1" scenarios="1"/>
  <mergeCells count="7">
    <mergeCell ref="I12:L12"/>
    <mergeCell ref="I13:K13"/>
    <mergeCell ref="L13:N13"/>
    <mergeCell ref="I35:X35"/>
    <mergeCell ref="S14:X14"/>
    <mergeCell ref="S16:X16"/>
    <mergeCell ref="I28:Q29"/>
  </mergeCells>
  <phoneticPr fontId="0" type="noConversion"/>
  <conditionalFormatting sqref="Q15 Q19 Q21 Q23 Q25 Q27">
    <cfRule type="cellIs" dxfId="6" priority="11" stopIfTrue="1" operator="equal">
      <formula>TRUE</formula>
    </cfRule>
  </conditionalFormatting>
  <conditionalFormatting sqref="Q17">
    <cfRule type="cellIs" dxfId="5" priority="2" stopIfTrue="1" operator="equal">
      <formula>TRUE</formula>
    </cfRule>
  </conditionalFormatting>
  <conditionalFormatting sqref="R28:R29 U28:U29">
    <cfRule type="cellIs" dxfId="4" priority="12" stopIfTrue="1" operator="equal">
      <formula>"You can change the co-payment by % OR $ but not both"</formula>
    </cfRule>
  </conditionalFormatting>
  <conditionalFormatting sqref="S15:T15 S19:T19 S21:T21 S23:T23 S25:T25 S27:T27">
    <cfRule type="cellIs" dxfId="3" priority="13" stopIfTrue="1" operator="lessThan">
      <formula>0</formula>
    </cfRule>
  </conditionalFormatting>
  <conditionalFormatting sqref="S17:T17">
    <cfRule type="cellIs" dxfId="2" priority="3" stopIfTrue="1" operator="lessThan">
      <formula>0</formula>
    </cfRule>
  </conditionalFormatting>
  <conditionalFormatting sqref="X15 X19 X21 X23 X25 X27 X30">
    <cfRule type="cellIs" dxfId="1" priority="10" stopIfTrue="1" operator="notEqual">
      <formula>W15</formula>
    </cfRule>
  </conditionalFormatting>
  <conditionalFormatting sqref="X17">
    <cfRule type="cellIs" dxfId="0" priority="1" stopIfTrue="1" operator="notEqual">
      <formula>W17</formula>
    </cfRule>
  </conditionalFormatting>
  <pageMargins left="0.75" right="0.75" top="1" bottom="1" header="0.5" footer="0.5"/>
  <pageSetup paperSize="9" scale="53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pinner 4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Spinner 5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Spinner 6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11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Spinner 7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Spinner 8">
              <controlPr defaultSize="0" autoPict="0">
                <anchor moveWithCells="1" sizeWithCells="1">
                  <from>
                    <xdr:col>12</xdr:col>
                    <xdr:colOff>0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Spinner 16">
              <controlPr defaultSize="0" autoPict="0">
                <anchor moveWithCells="1" siz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14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2" name="Spinner 391">
              <controlPr defaultSize="0" autoPict="0">
                <anchor moveWithCells="1" sizeWithCells="1">
                  <from>
                    <xdr:col>12</xdr:col>
                    <xdr:colOff>0</xdr:colOff>
                    <xdr:row>20</xdr:row>
                    <xdr:rowOff>9525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3" name="Spinner 392">
              <controlPr defaultSize="0" autoPict="0">
                <anchor moveWithCells="1" siz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4" name="Spinner 394">
              <controlPr defaultSize="0" autoPict="0">
                <anchor moveWithCells="1" siz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5" name="Spinner 396">
              <controlPr defaultSize="0" autoPict="0">
                <anchor moveWithCells="1" sizeWithCells="1">
                  <from>
                    <xdr:col>12</xdr:col>
                    <xdr:colOff>0</xdr:colOff>
                    <xdr:row>26</xdr:row>
                    <xdr:rowOff>9525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6" name="Spinner 414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7" name="Spinner 415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8" name="Spinner 416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9" name="Spinner 417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0" name="Spinner 418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1" name="Spinner 419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1000205-1572720606-85054</_dlc_DocId>
    <_dlc_DocIdUrl xmlns="1648de66-f3f9-4d4b-aae7-60266db04554">
      <Url>https://hauoraaotearoa.sharepoint.com/sites/1000205/_layouts/15/DocIdRedir.aspx?ID=1000205-1572720606-85054</Url>
      <Description>1000205-1572720606-85054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2DB3F-F339-445E-ADE7-B3B97E8918D9}"/>
</file>

<file path=customXml/itemProps2.xml><?xml version="1.0" encoding="utf-8"?>
<ds:datastoreItem xmlns:ds="http://schemas.openxmlformats.org/officeDocument/2006/customXml" ds:itemID="{F271199A-6227-4361-B991-C37D8B71EF6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0026F8-2E59-4C19-9D47-014A22E0394C}"/>
</file>

<file path=customXml/itemProps4.xml><?xml version="1.0" encoding="utf-8"?>
<ds:datastoreItem xmlns:ds="http://schemas.openxmlformats.org/officeDocument/2006/customXml" ds:itemID="{C551A4DE-C833-4293-8800-1ABB5B22571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44c2a54a-6ac2-425a-8389-3dd3bceb96f0"/>
    <ds:schemaRef ds:uri="http://schemas.microsoft.com/office/infopath/2007/PartnerControls"/>
    <ds:schemaRef ds:uri="http://schemas.openxmlformats.org/package/2006/metadata/core-properties"/>
    <ds:schemaRef ds:uri="46b5b014-5011-4103-9c43-7b9b08a980d1"/>
    <ds:schemaRef ds:uri="9253c88c-d550-4ff1-afdc-d5dc691f60b0"/>
    <ds:schemaRef ds:uri="e9f0c186-92ea-4dfc-a694-a9b8a7eb4cc7"/>
    <ds:schemaRef ds:uri="1648de66-f3f9-4d4b-aae7-60266db04554"/>
  </ds:schemaRefs>
</ds:datastoreItem>
</file>

<file path=customXml/itemProps5.xml><?xml version="1.0" encoding="utf-8"?>
<ds:datastoreItem xmlns:ds="http://schemas.openxmlformats.org/officeDocument/2006/customXml" ds:itemID="{463BF6CF-B216-41D4-AAD2-87648A4205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Revenue Split</vt:lpstr>
      <vt:lpstr>Annual Statement Summary</vt:lpstr>
      <vt:lpstr>Co-payment Template</vt:lpstr>
      <vt:lpstr>CopaymentGSTRate</vt:lpstr>
      <vt:lpstr>DefaultCapitationContribution</vt:lpstr>
      <vt:lpstr>DefaultCopaymentContribution</vt:lpstr>
      <vt:lpstr>PreviousGSTRate</vt:lpstr>
      <vt:lpstr>'Annual Statement Summary'!Print_Area</vt:lpstr>
      <vt:lpstr>'Co-payment Template'!Print_Area</vt:lpstr>
      <vt:lpstr>'Revenue Split'!Print_Area</vt:lpstr>
    </vt:vector>
  </TitlesOfParts>
  <Manager/>
  <Company>LECG,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Hope</dc:creator>
  <cp:keywords/>
  <dc:description/>
  <cp:lastModifiedBy>Harnish Jariwala</cp:lastModifiedBy>
  <cp:revision/>
  <dcterms:created xsi:type="dcterms:W3CDTF">2006-12-15T01:02:58Z</dcterms:created>
  <dcterms:modified xsi:type="dcterms:W3CDTF">2024-07-22T00:52:05Z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Order">
    <vt:r8>100</vt:r8>
  </property>
  <property fmtid="{D5CDD505-2E9C-101B-9397-08002B2CF9AE}" pid="4" name="MSIP_Label_96de0340-1b79-4219-98d1-80f4121fcf17_Enabled">
    <vt:lpwstr>true</vt:lpwstr>
  </property>
  <property fmtid="{D5CDD505-2E9C-101B-9397-08002B2CF9AE}" pid="5" name="MSIP_Label_96de0340-1b79-4219-98d1-80f4121fcf17_SetDate">
    <vt:lpwstr>2022-06-15T02:16:33Z</vt:lpwstr>
  </property>
  <property fmtid="{D5CDD505-2E9C-101B-9397-08002B2CF9AE}" pid="6" name="MSIP_Label_96de0340-1b79-4219-98d1-80f4121fcf17_Method">
    <vt:lpwstr>Privileged</vt:lpwstr>
  </property>
  <property fmtid="{D5CDD505-2E9C-101B-9397-08002B2CF9AE}" pid="7" name="MSIP_Label_96de0340-1b79-4219-98d1-80f4121fcf17_Name">
    <vt:lpwstr>UNCLASSIFIED</vt:lpwstr>
  </property>
  <property fmtid="{D5CDD505-2E9C-101B-9397-08002B2CF9AE}" pid="8" name="MSIP_Label_96de0340-1b79-4219-98d1-80f4121fcf17_SiteId">
    <vt:lpwstr>0051ec7f-c4f5-41e6-b397-24b855b2a57e</vt:lpwstr>
  </property>
  <property fmtid="{D5CDD505-2E9C-101B-9397-08002B2CF9AE}" pid="9" name="MSIP_Label_96de0340-1b79-4219-98d1-80f4121fcf17_ActionId">
    <vt:lpwstr>55d6ccfb-d623-4fe8-a99e-1afd850352d8</vt:lpwstr>
  </property>
  <property fmtid="{D5CDD505-2E9C-101B-9397-08002B2CF9AE}" pid="10" name="MSIP_Label_96de0340-1b79-4219-98d1-80f4121fcf17_ContentBits">
    <vt:lpwstr>1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ka9b207035bc48f2a4f6a2bfed7195b70">
    <vt:lpwstr>Commissioning|15b5b4c6-5772-46c7-92cb-dbba43ced6f6</vt:lpwstr>
  </property>
  <property fmtid="{D5CDD505-2E9C-101B-9397-08002B2CF9AE}" pid="19" name="mb22360ee3e3407ca28e907eb3b7ca6b0">
    <vt:lpwstr>Draft|4dbd6f0d-7021-43d2-a391-03666245495e</vt:lpwstr>
  </property>
  <property fmtid="{D5CDD505-2E9C-101B-9397-08002B2CF9AE}" pid="20" name="BusinessFunction">
    <vt:lpwstr>3;#Commissioning|15b5b4c6-5772-46c7-92cb-dbba43ced6f6</vt:lpwstr>
  </property>
  <property fmtid="{D5CDD505-2E9C-101B-9397-08002B2CF9AE}" pid="21" name="HNZStatus">
    <vt:lpwstr>2;#Draft|4dbd6f0d-7021-43d2-a391-03666245495e</vt:lpwstr>
  </property>
  <property fmtid="{D5CDD505-2E9C-101B-9397-08002B2CF9AE}" pid="22" name="_dlc_DocIdItemGuid">
    <vt:lpwstr>77e5af31-abf8-4446-a1cc-97a1235d94a4</vt:lpwstr>
  </property>
  <property fmtid="{D5CDD505-2E9C-101B-9397-08002B2CF9AE}" pid="23" name="p777f0da518742b188a1f7fd5ee918100">
    <vt:lpwstr/>
  </property>
  <property fmtid="{D5CDD505-2E9C-101B-9397-08002B2CF9AE}" pid="24" name="f3e7f0a218d8438586e2a8545792c0ef0">
    <vt:lpwstr/>
  </property>
  <property fmtid="{D5CDD505-2E9C-101B-9397-08002B2CF9AE}" pid="25" name="b129038a2c8d4de88edfb48f2f360037">
    <vt:lpwstr/>
  </property>
  <property fmtid="{D5CDD505-2E9C-101B-9397-08002B2CF9AE}" pid="26" name="Life_x0020_Course">
    <vt:lpwstr/>
  </property>
  <property fmtid="{D5CDD505-2E9C-101B-9397-08002B2CF9AE}" pid="27" name="p7110e5651294189b89368865130750f0">
    <vt:lpwstr/>
  </property>
  <property fmtid="{D5CDD505-2E9C-101B-9397-08002B2CF9AE}" pid="28" name="Work_x0020_Programme">
    <vt:lpwstr/>
  </property>
  <property fmtid="{D5CDD505-2E9C-101B-9397-08002B2CF9AE}" pid="29" name="HNZLocalArea">
    <vt:lpwstr/>
  </property>
  <property fmtid="{D5CDD505-2E9C-101B-9397-08002B2CF9AE}" pid="30" name="HNZWorkProgramme">
    <vt:lpwstr/>
  </property>
  <property fmtid="{D5CDD505-2E9C-101B-9397-08002B2CF9AE}" pid="31" name="HNZLifeCourse">
    <vt:lpwstr/>
  </property>
  <property fmtid="{D5CDD505-2E9C-101B-9397-08002B2CF9AE}" pid="32" name="HNZRegion">
    <vt:lpwstr/>
  </property>
  <property fmtid="{D5CDD505-2E9C-101B-9397-08002B2CF9AE}" pid="33" name="n7550351343a46f2a8525b73f60545f8">
    <vt:lpwstr/>
  </property>
  <property fmtid="{D5CDD505-2E9C-101B-9397-08002B2CF9AE}" pid="34" name="lcf76f155ced4ddcb4097134ff3c332f">
    <vt:lpwstr/>
  </property>
  <property fmtid="{D5CDD505-2E9C-101B-9397-08002B2CF9AE}" pid="35" name="HNZTopic">
    <vt:lpwstr/>
  </property>
  <property fmtid="{D5CDD505-2E9C-101B-9397-08002B2CF9AE}" pid="36" name="Work Programme">
    <vt:lpwstr/>
  </property>
  <property fmtid="{D5CDD505-2E9C-101B-9397-08002B2CF9AE}" pid="37" name="Life Course">
    <vt:lpwstr/>
  </property>
</Properties>
</file>