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hauoraaotearoa.sharepoint.com/sites/1000218/PlanningandPerformance/General/Service Modelling/From 3DHB/02 Living Well/Primary Care/005 Capitation/Model/GP Fee-setting templates/2024-25/"/>
    </mc:Choice>
  </mc:AlternateContent>
  <xr:revisionPtr revIDLastSave="21" documentId="8_{A2BF5CED-7346-46E1-8285-EA37C7806A3F}" xr6:coauthVersionLast="47" xr6:coauthVersionMax="47" xr10:uidLastSave="{AB0BBCEB-7A3B-4068-9126-20B2DEE7CBE1}"/>
  <bookViews>
    <workbookView xWindow="-120" yWindow="-120" windowWidth="29040" windowHeight="15840" tabRatio="475" xr2:uid="{00000000-000D-0000-FFFF-FFFF00000000}"/>
  </bookViews>
  <sheets>
    <sheet name="Revenue Split" sheetId="4" r:id="rId1"/>
    <sheet name="Annual Statement Summary" sheetId="3" r:id="rId2"/>
    <sheet name="Co-payment Template" sheetId="5" r:id="rId3"/>
    <sheet name="AdditionalCapitation1819" sheetId="8" state="hidden" r:id="rId4"/>
    <sheet name="Parameters" sheetId="9" state="hidden" r:id="rId5"/>
  </sheets>
  <definedNames>
    <definedName name="CopaymentGSTRate">'Co-payment Template'!$F$9</definedName>
    <definedName name="DefaultCapitationContribution">'Annual Statement Summary'!$F$10</definedName>
    <definedName name="DefaultCopaymentContribution">'Annual Statement Summary'!$G$10</definedName>
    <definedName name="IncludeTopUp">Parameters!$B$2</definedName>
    <definedName name="MaxCSCFee_Adult">Parameters!$B$5</definedName>
    <definedName name="MaxCSCFee_Youth">Parameters!$B$4</definedName>
    <definedName name="PracticeType">'Revenue Split'!$I$3</definedName>
    <definedName name="PreviousGSTRate">'Co-payment Template'!$F$8</definedName>
    <definedName name="_xlnm.Print_Area" localSheetId="1">'Annual Statement Summary'!$A$1:$H$58</definedName>
    <definedName name="_xlnm.Print_Area" localSheetId="2">'Co-payment Template'!$B$2:$AB$46</definedName>
    <definedName name="_xlnm.Print_Area" localSheetId="0">'Revenue Split'!$A$3:$K$51</definedName>
    <definedName name="UtilisationRateOption">Parameters!$B$20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5" l="1"/>
  <c r="H15" i="4"/>
  <c r="U37" i="5" l="1"/>
  <c r="E39" i="4" l="1"/>
  <c r="E37" i="4"/>
  <c r="E35" i="4"/>
  <c r="E33" i="4"/>
  <c r="E31" i="4"/>
  <c r="E29" i="4"/>
  <c r="E27" i="4"/>
  <c r="E25" i="4"/>
  <c r="E23" i="4"/>
  <c r="E21" i="4"/>
  <c r="E19" i="4"/>
  <c r="E17" i="4"/>
  <c r="X50" i="8" l="1"/>
  <c r="W45" i="8"/>
  <c r="F22" i="9"/>
  <c r="F21" i="9"/>
  <c r="F23" i="9"/>
  <c r="D23" i="4"/>
  <c r="E21" i="5" s="1"/>
  <c r="D21" i="4"/>
  <c r="D29" i="4"/>
  <c r="D37" i="4"/>
  <c r="D19" i="4"/>
  <c r="D25" i="4"/>
  <c r="G25" i="4" s="1"/>
  <c r="D33" i="4"/>
  <c r="D17" i="4"/>
  <c r="F37" i="5"/>
  <c r="S37" i="5"/>
  <c r="I37" i="5" s="1"/>
  <c r="O37" i="5" s="1"/>
  <c r="Q37" i="5"/>
  <c r="Q33" i="5"/>
  <c r="Q29" i="5"/>
  <c r="Q25" i="5"/>
  <c r="Q21" i="5"/>
  <c r="S54" i="8"/>
  <c r="S53" i="8"/>
  <c r="S52" i="8"/>
  <c r="S51" i="8"/>
  <c r="S50" i="8"/>
  <c r="S49" i="8"/>
  <c r="S48" i="8"/>
  <c r="D46" i="8"/>
  <c r="D45" i="8"/>
  <c r="D53" i="8"/>
  <c r="G53" i="8"/>
  <c r="D44" i="8"/>
  <c r="D43" i="8"/>
  <c r="D50" i="8"/>
  <c r="G50" i="8"/>
  <c r="C46" i="8"/>
  <c r="C45" i="8"/>
  <c r="C44" i="8"/>
  <c r="C52" i="8"/>
  <c r="F52" i="8"/>
  <c r="C43" i="8"/>
  <c r="C42" i="8"/>
  <c r="C41" i="8"/>
  <c r="C48" i="8"/>
  <c r="F48" i="8"/>
  <c r="X69" i="8"/>
  <c r="X70" i="8"/>
  <c r="X71" i="8"/>
  <c r="X72" i="8"/>
  <c r="X73" i="8"/>
  <c r="X68" i="8"/>
  <c r="T69" i="8"/>
  <c r="T70" i="8"/>
  <c r="T71" i="8"/>
  <c r="T72" i="8"/>
  <c r="T73" i="8"/>
  <c r="T68" i="8"/>
  <c r="D29" i="5"/>
  <c r="D33" i="5"/>
  <c r="D35" i="5"/>
  <c r="D52" i="8"/>
  <c r="G52" i="8"/>
  <c r="D54" i="8"/>
  <c r="G54" i="8"/>
  <c r="D37" i="5"/>
  <c r="C53" i="8"/>
  <c r="F53" i="8"/>
  <c r="D31" i="5"/>
  <c r="C54" i="8"/>
  <c r="F54" i="8"/>
  <c r="D27" i="5"/>
  <c r="D25" i="5"/>
  <c r="C51" i="8"/>
  <c r="F51" i="8"/>
  <c r="F58" i="8"/>
  <c r="D23" i="5"/>
  <c r="D21" i="5"/>
  <c r="C50" i="8"/>
  <c r="F50" i="8"/>
  <c r="D19" i="5"/>
  <c r="D49" i="8"/>
  <c r="G49" i="8"/>
  <c r="C49" i="8"/>
  <c r="F49" i="8"/>
  <c r="D17" i="5"/>
  <c r="D48" i="8"/>
  <c r="G48" i="8" s="1"/>
  <c r="D15" i="5"/>
  <c r="T49" i="8"/>
  <c r="T48" i="8"/>
  <c r="X60" i="8"/>
  <c r="X61" i="8"/>
  <c r="X62" i="8"/>
  <c r="X63" i="8"/>
  <c r="X64" i="8"/>
  <c r="X59" i="8"/>
  <c r="Q49" i="8"/>
  <c r="Q48" i="8"/>
  <c r="P52" i="8"/>
  <c r="P53" i="8"/>
  <c r="P54" i="8"/>
  <c r="O53" i="8"/>
  <c r="Q53" i="8"/>
  <c r="O54" i="8"/>
  <c r="Q54" i="8"/>
  <c r="O52" i="8"/>
  <c r="P51" i="8"/>
  <c r="O51" i="8"/>
  <c r="P50" i="8"/>
  <c r="O50" i="8"/>
  <c r="T50" i="8"/>
  <c r="P49" i="8"/>
  <c r="P48" i="8"/>
  <c r="Q60" i="8"/>
  <c r="Q61" i="8"/>
  <c r="Q62" i="8"/>
  <c r="Q63" i="8"/>
  <c r="Q64" i="8"/>
  <c r="Q59" i="8"/>
  <c r="W50" i="8"/>
  <c r="W48" i="8"/>
  <c r="X44" i="8"/>
  <c r="X52" i="8"/>
  <c r="F25" i="9"/>
  <c r="D31" i="4" s="1"/>
  <c r="X45" i="8"/>
  <c r="X53" i="8"/>
  <c r="F26" i="9"/>
  <c r="D35" i="4" s="1"/>
  <c r="X46" i="8"/>
  <c r="X54" i="8"/>
  <c r="F27" i="9"/>
  <c r="D39" i="4" s="1"/>
  <c r="X43" i="8"/>
  <c r="X51" i="8"/>
  <c r="F24" i="9"/>
  <c r="D27" i="4"/>
  <c r="E25" i="5" s="1"/>
  <c r="W42" i="8"/>
  <c r="W49" i="8"/>
  <c r="W43" i="8"/>
  <c r="W51" i="8"/>
  <c r="W44" i="8"/>
  <c r="W52" i="8"/>
  <c r="W53" i="8"/>
  <c r="W46" i="8"/>
  <c r="W54" i="8"/>
  <c r="W41" i="8"/>
  <c r="V17" i="8"/>
  <c r="V15" i="8"/>
  <c r="V13" i="8"/>
  <c r="V12" i="8"/>
  <c r="V11" i="8"/>
  <c r="V9" i="8"/>
  <c r="U17" i="8"/>
  <c r="U15" i="8"/>
  <c r="U13" i="8"/>
  <c r="U12" i="8"/>
  <c r="U11" i="8"/>
  <c r="V7" i="8"/>
  <c r="U7" i="8"/>
  <c r="U9" i="8"/>
  <c r="L46" i="8"/>
  <c r="L45" i="8"/>
  <c r="J46" i="8"/>
  <c r="M46" i="8"/>
  <c r="M54" i="8"/>
  <c r="J45" i="8"/>
  <c r="M45" i="8"/>
  <c r="M53" i="8"/>
  <c r="L44" i="8"/>
  <c r="L43" i="8"/>
  <c r="J44" i="8"/>
  <c r="M44" i="8"/>
  <c r="M52" i="8"/>
  <c r="J43" i="8"/>
  <c r="M43" i="8"/>
  <c r="G37" i="5"/>
  <c r="X37" i="5" s="1"/>
  <c r="F35" i="5"/>
  <c r="G35" i="5" s="1"/>
  <c r="X35" i="5" s="1"/>
  <c r="F33" i="5"/>
  <c r="S33" i="5" s="1"/>
  <c r="I33" i="5" s="1"/>
  <c r="O33" i="5" s="1"/>
  <c r="F31" i="5"/>
  <c r="F29" i="5"/>
  <c r="M29" i="5" s="1"/>
  <c r="L29" i="5" s="1"/>
  <c r="P29" i="5" s="1"/>
  <c r="F27" i="5"/>
  <c r="G27" i="5" s="1"/>
  <c r="X27" i="5" s="1"/>
  <c r="F25" i="5"/>
  <c r="G25" i="5" s="1"/>
  <c r="X25" i="5" s="1"/>
  <c r="F23" i="5"/>
  <c r="G23" i="5"/>
  <c r="X23" i="5" s="1"/>
  <c r="F21" i="5"/>
  <c r="G21" i="5" s="1"/>
  <c r="X21" i="5" s="1"/>
  <c r="F19" i="5"/>
  <c r="G19" i="5"/>
  <c r="X19" i="5" s="1"/>
  <c r="F17" i="5"/>
  <c r="G17" i="5" s="1"/>
  <c r="X17" i="5" s="1"/>
  <c r="F15" i="5"/>
  <c r="G15" i="5"/>
  <c r="X15" i="5" s="1"/>
  <c r="L35" i="5"/>
  <c r="P35" i="5"/>
  <c r="I35" i="5"/>
  <c r="O35" i="5"/>
  <c r="L31" i="5"/>
  <c r="P31" i="5"/>
  <c r="I31" i="5"/>
  <c r="O31" i="5"/>
  <c r="Q31" i="5"/>
  <c r="L27" i="5"/>
  <c r="P27" i="5"/>
  <c r="I27" i="5"/>
  <c r="O27" i="5"/>
  <c r="L23" i="5"/>
  <c r="P23" i="5"/>
  <c r="I23" i="5"/>
  <c r="O23" i="5" s="1"/>
  <c r="Q23" i="5" s="1"/>
  <c r="S23" i="5"/>
  <c r="T23" i="5" s="1"/>
  <c r="L19" i="5"/>
  <c r="P19" i="5"/>
  <c r="I19" i="5"/>
  <c r="O19" i="5" s="1"/>
  <c r="Q19" i="5" s="1"/>
  <c r="I37" i="4"/>
  <c r="I35" i="4"/>
  <c r="I31" i="4"/>
  <c r="I27" i="4"/>
  <c r="I23" i="4"/>
  <c r="L15" i="5"/>
  <c r="P15" i="5" s="1"/>
  <c r="I15" i="5"/>
  <c r="O15" i="5" s="1"/>
  <c r="I17" i="4"/>
  <c r="I39" i="4"/>
  <c r="I33" i="4"/>
  <c r="I29" i="4"/>
  <c r="I25" i="4"/>
  <c r="I21" i="4"/>
  <c r="I19" i="4"/>
  <c r="S13" i="5"/>
  <c r="G10" i="3"/>
  <c r="X43" i="5"/>
  <c r="I17" i="5"/>
  <c r="O17" i="5"/>
  <c r="L17" i="5"/>
  <c r="P17" i="5"/>
  <c r="Q17" i="5"/>
  <c r="Q52" i="8"/>
  <c r="U29" i="5"/>
  <c r="T53" i="8"/>
  <c r="T52" i="8"/>
  <c r="T54" i="8"/>
  <c r="S35" i="5"/>
  <c r="T35" i="5"/>
  <c r="M33" i="5"/>
  <c r="L33" i="5" s="1"/>
  <c r="P33" i="5" s="1"/>
  <c r="S29" i="5"/>
  <c r="T29" i="5" s="1"/>
  <c r="S21" i="5"/>
  <c r="T21" i="5" s="1"/>
  <c r="M37" i="5"/>
  <c r="L37" i="5" s="1"/>
  <c r="P37" i="5" s="1"/>
  <c r="M21" i="5"/>
  <c r="L21" i="5" s="1"/>
  <c r="P21" i="5" s="1"/>
  <c r="Q35" i="5"/>
  <c r="Q27" i="5"/>
  <c r="U25" i="5"/>
  <c r="AA54" i="8"/>
  <c r="M50" i="8"/>
  <c r="M51" i="8"/>
  <c r="U33" i="5"/>
  <c r="AA53" i="8"/>
  <c r="Q50" i="8"/>
  <c r="D51" i="8"/>
  <c r="G51" i="8"/>
  <c r="G58" i="8"/>
  <c r="F59" i="8"/>
  <c r="AA52" i="8"/>
  <c r="G29" i="5"/>
  <c r="X29" i="5" s="1"/>
  <c r="AA50" i="8"/>
  <c r="U21" i="5"/>
  <c r="V21" i="5" s="1"/>
  <c r="S15" i="5" l="1"/>
  <c r="S14" i="5" s="1"/>
  <c r="J25" i="4"/>
  <c r="Q15" i="5"/>
  <c r="I38" i="5" s="1"/>
  <c r="S19" i="5"/>
  <c r="T19" i="5" s="1"/>
  <c r="S31" i="5"/>
  <c r="T31" i="5" s="1"/>
  <c r="T51" i="8"/>
  <c r="Q51" i="8"/>
  <c r="AA51" i="8" s="1"/>
  <c r="G31" i="5"/>
  <c r="X31" i="5" s="1"/>
  <c r="M25" i="5"/>
  <c r="L25" i="5" s="1"/>
  <c r="P25" i="5" s="1"/>
  <c r="Z25" i="5"/>
  <c r="J21" i="4"/>
  <c r="S27" i="5"/>
  <c r="T27" i="5" s="1"/>
  <c r="S25" i="5"/>
  <c r="I25" i="5" s="1"/>
  <c r="O25" i="5" s="1"/>
  <c r="Z21" i="5"/>
  <c r="G33" i="5"/>
  <c r="X33" i="5" s="1"/>
  <c r="S17" i="5"/>
  <c r="J27" i="4"/>
  <c r="G27" i="4"/>
  <c r="K27" i="4" s="1"/>
  <c r="J35" i="4"/>
  <c r="G35" i="4"/>
  <c r="E33" i="5"/>
  <c r="V33" i="5" s="1"/>
  <c r="J23" i="4"/>
  <c r="G23" i="4"/>
  <c r="E29" i="5"/>
  <c r="Z29" i="5" s="1"/>
  <c r="J31" i="4"/>
  <c r="G31" i="4"/>
  <c r="F31" i="4" s="1"/>
  <c r="G39" i="4"/>
  <c r="F39" i="4" s="1"/>
  <c r="E37" i="5"/>
  <c r="Z37" i="5" s="1"/>
  <c r="J39" i="4"/>
  <c r="V25" i="5"/>
  <c r="T33" i="5"/>
  <c r="T37" i="5"/>
  <c r="W21" i="5"/>
  <c r="AA21" i="5" s="1"/>
  <c r="E15" i="5"/>
  <c r="G17" i="4"/>
  <c r="F17" i="4" s="1"/>
  <c r="J17" i="4"/>
  <c r="E31" i="5"/>
  <c r="J33" i="4"/>
  <c r="G33" i="4"/>
  <c r="F25" i="4"/>
  <c r="K25" i="4"/>
  <c r="E17" i="5"/>
  <c r="G19" i="4"/>
  <c r="J19" i="4"/>
  <c r="G37" i="4"/>
  <c r="J37" i="4"/>
  <c r="E35" i="5"/>
  <c r="J29" i="4"/>
  <c r="G29" i="4"/>
  <c r="E27" i="5"/>
  <c r="G21" i="4"/>
  <c r="E23" i="5"/>
  <c r="E19" i="5"/>
  <c r="I29" i="5"/>
  <c r="O29" i="5" s="1"/>
  <c r="I21" i="5"/>
  <c r="O21" i="5" s="1"/>
  <c r="T15" i="5" l="1"/>
  <c r="F27" i="4"/>
  <c r="T25" i="5"/>
  <c r="S16" i="5"/>
  <c r="T17" i="5"/>
  <c r="S38" i="5"/>
  <c r="Z33" i="5"/>
  <c r="W33" i="5"/>
  <c r="AA33" i="5" s="1"/>
  <c r="W25" i="5"/>
  <c r="AA25" i="5" s="1"/>
  <c r="K31" i="4"/>
  <c r="K23" i="4"/>
  <c r="F23" i="4"/>
  <c r="K39" i="4"/>
  <c r="V37" i="5"/>
  <c r="W37" i="5" s="1"/>
  <c r="AA37" i="5" s="1"/>
  <c r="F35" i="4"/>
  <c r="K35" i="4"/>
  <c r="V29" i="5"/>
  <c r="W29" i="5" s="1"/>
  <c r="AA29" i="5" s="1"/>
  <c r="F29" i="4"/>
  <c r="K29" i="4"/>
  <c r="V27" i="5"/>
  <c r="W27" i="5" s="1"/>
  <c r="AA27" i="5" s="1"/>
  <c r="Z27" i="5"/>
  <c r="Z19" i="5"/>
  <c r="V19" i="5"/>
  <c r="W19" i="5" s="1"/>
  <c r="AA19" i="5" s="1"/>
  <c r="K37" i="4"/>
  <c r="F37" i="4"/>
  <c r="Z31" i="5"/>
  <c r="V31" i="5"/>
  <c r="W31" i="5" s="1"/>
  <c r="AA31" i="5" s="1"/>
  <c r="Z17" i="5"/>
  <c r="V17" i="5"/>
  <c r="W17" i="5" s="1"/>
  <c r="AA17" i="5" s="1"/>
  <c r="F33" i="4"/>
  <c r="K33" i="4"/>
  <c r="V23" i="5"/>
  <c r="W23" i="5" s="1"/>
  <c r="AA23" i="5" s="1"/>
  <c r="Z23" i="5"/>
  <c r="J41" i="4"/>
  <c r="V15" i="5"/>
  <c r="Z15" i="5"/>
  <c r="Z35" i="5"/>
  <c r="V35" i="5"/>
  <c r="W35" i="5" s="1"/>
  <c r="AA35" i="5" s="1"/>
  <c r="K21" i="4"/>
  <c r="F21" i="4"/>
  <c r="F19" i="4"/>
  <c r="K19" i="4"/>
  <c r="K17" i="4"/>
  <c r="W15" i="5" l="1"/>
  <c r="AA15" i="5" s="1"/>
  <c r="AA40" i="5" s="1"/>
  <c r="AA41" i="5"/>
  <c r="Z40" i="5"/>
  <c r="K41" i="4"/>
  <c r="I42" i="4" s="1"/>
  <c r="Z41" i="5"/>
  <c r="Z42" i="5" s="1"/>
  <c r="AB40" i="5" l="1"/>
  <c r="I41" i="4"/>
  <c r="D10" i="3" s="1"/>
  <c r="F32" i="3" s="1"/>
  <c r="E54" i="3" s="1"/>
  <c r="AB41" i="5"/>
  <c r="F30" i="3" l="1"/>
  <c r="E52" i="3" s="1"/>
  <c r="F29" i="3"/>
  <c r="E51" i="3" s="1"/>
  <c r="F31" i="3"/>
  <c r="E53" i="3" s="1"/>
  <c r="F26" i="3"/>
  <c r="E48" i="3" s="1"/>
  <c r="F27" i="3"/>
  <c r="E49" i="3" s="1"/>
  <c r="F21" i="3"/>
  <c r="E43" i="3" s="1"/>
  <c r="F28" i="3"/>
  <c r="E50" i="3" s="1"/>
  <c r="E10" i="3"/>
  <c r="F24" i="3" s="1"/>
  <c r="E46" i="3" s="1"/>
  <c r="F20" i="3"/>
  <c r="E42" i="3" s="1"/>
  <c r="F33" i="3" l="1"/>
  <c r="E55" i="3" s="1"/>
  <c r="E58" i="3" s="1"/>
  <c r="Z43" i="5" s="1"/>
  <c r="I45" i="5" s="1"/>
  <c r="F25" i="3"/>
  <c r="E47" i="3" s="1"/>
  <c r="F19" i="3"/>
  <c r="E41" i="3" s="1"/>
  <c r="F23" i="3"/>
  <c r="E45" i="3" s="1"/>
  <c r="F18" i="3"/>
  <c r="E40" i="3" s="1"/>
  <c r="F22" i="3"/>
  <c r="E44" i="3" s="1"/>
  <c r="F17" i="3"/>
  <c r="E3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 Noresten</author>
  </authors>
  <commentList>
    <comment ref="E10" authorId="0" shapeId="0" xr:uid="{EBA7C07F-825E-4714-9C01-973330BE8660}">
      <text>
        <r>
          <rPr>
            <b/>
            <sz val="9"/>
            <color indexed="81"/>
            <rFont val="Tahoma"/>
            <family val="2"/>
          </rPr>
          <t>Karin Noresten:</t>
        </r>
        <r>
          <rPr>
            <sz val="9"/>
            <color indexed="81"/>
            <rFont val="Tahoma"/>
            <family val="2"/>
          </rPr>
          <t xml:space="preserve">
Calculated in 'Funding, utilisation rates, and visits calculations 2020-21.xlsx'</t>
        </r>
      </text>
    </comment>
    <comment ref="E20" authorId="0" shapeId="0" xr:uid="{4B42B2B1-3A5A-4FA2-BF7A-0341B194D04A}">
      <text>
        <r>
          <rPr>
            <b/>
            <sz val="9"/>
            <color indexed="81"/>
            <rFont val="Tahoma"/>
            <family val="2"/>
          </rPr>
          <t>Karin Noresten:</t>
        </r>
        <r>
          <rPr>
            <sz val="9"/>
            <color indexed="81"/>
            <rFont val="Tahoma"/>
            <family val="2"/>
          </rPr>
          <t xml:space="preserve">
Calculated in 'Funding, utilisation rates, and visits calculations 2020-21.xlsx'</t>
        </r>
      </text>
    </comment>
    <comment ref="F20" authorId="0" shapeId="0" xr:uid="{4F82860F-D009-49CB-88D3-33F6E73820B1}">
      <text>
        <r>
          <rPr>
            <b/>
            <sz val="9"/>
            <color indexed="81"/>
            <rFont val="Tahoma"/>
            <family val="2"/>
          </rPr>
          <t>Karin Noresten:</t>
        </r>
        <r>
          <rPr>
            <sz val="9"/>
            <color indexed="81"/>
            <rFont val="Tahoma"/>
            <family val="2"/>
          </rPr>
          <t xml:space="preserve">
Don't change this one</t>
        </r>
      </text>
    </comment>
    <comment ref="E29" authorId="0" shapeId="0" xr:uid="{84DF3521-CA7D-4374-893F-ADF690F95160}">
      <text>
        <r>
          <rPr>
            <b/>
            <sz val="9"/>
            <color indexed="81"/>
            <rFont val="Tahoma"/>
            <family val="2"/>
          </rPr>
          <t>Karin Noresten:</t>
        </r>
        <r>
          <rPr>
            <sz val="9"/>
            <color indexed="81"/>
            <rFont val="Tahoma"/>
            <family val="2"/>
          </rPr>
          <t xml:space="preserve">
Calculated in 'Funding, utilisation rates, and visits calculations 2020-21.xlsx'</t>
        </r>
      </text>
    </comment>
  </commentList>
</comments>
</file>

<file path=xl/sharedStrings.xml><?xml version="1.0" encoding="utf-8"?>
<sst xmlns="http://schemas.openxmlformats.org/spreadsheetml/2006/main" count="367" uniqueCount="181">
  <si>
    <t>Co-payment adjustment template - Option A - INTRO</t>
  </si>
  <si>
    <t>Practice Name or Identifier</t>
  </si>
  <si>
    <t>Co-payment/capitation revenue split calculation</t>
  </si>
  <si>
    <t>Hide J</t>
  </si>
  <si>
    <t>Hide K</t>
  </si>
  <si>
    <t>Practice to enter values shown in red only:</t>
  </si>
  <si>
    <t>Practice Name / Identifier</t>
  </si>
  <si>
    <t>Practice Type</t>
  </si>
  <si>
    <t>Please note that Option A is used to approximate co-payment capitation revenue.</t>
  </si>
  <si>
    <t>Current patient numbers</t>
  </si>
  <si>
    <r>
      <t xml:space="preserve">It is </t>
    </r>
    <r>
      <rPr>
        <b/>
        <u/>
        <sz val="12"/>
        <color indexed="52"/>
        <rFont val="Arial"/>
        <family val="2"/>
      </rPr>
      <t>strongly recommended</t>
    </r>
    <r>
      <rPr>
        <sz val="12"/>
        <color indexed="52"/>
        <rFont val="Arial"/>
        <family val="2"/>
      </rPr>
      <t xml:space="preserve"> that the </t>
    </r>
    <r>
      <rPr>
        <b/>
        <u/>
        <sz val="12"/>
        <color indexed="52"/>
        <rFont val="Arial"/>
        <family val="2"/>
      </rPr>
      <t>Option B template is used</t>
    </r>
  </si>
  <si>
    <t>Current fee (co-payment) by age group</t>
  </si>
  <si>
    <t>Age group</t>
  </si>
  <si>
    <t>Number of patients in this category</t>
  </si>
  <si>
    <t>Av utilisation rates*</t>
  </si>
  <si>
    <t>Capitation Rate (24/25)** (Excluding GST)</t>
  </si>
  <si>
    <t>Full non-subsidised fee*** (Excluding GST)</t>
  </si>
  <si>
    <t>Government capitation subsidy **** (Excl GST)</t>
  </si>
  <si>
    <t>30th June 2024 fee (co-payment) (Excluding GST)</t>
  </si>
  <si>
    <t>Annual co-payment revenue (excl GST)</t>
  </si>
  <si>
    <t>Annual total revenue (excl GST)</t>
  </si>
  <si>
    <t>Under 6 years</t>
  </si>
  <si>
    <t>6 to 13 years</t>
  </si>
  <si>
    <t>14 to 17 years - No CSC</t>
  </si>
  <si>
    <t>14 to 17 years - With CSC</t>
  </si>
  <si>
    <t>18 to 24 years - No CSC</t>
  </si>
  <si>
    <t>18 to 24 years - With CSC</t>
  </si>
  <si>
    <t>25 to 44 years - No CSC</t>
  </si>
  <si>
    <t>25 to 44 years - With CSC</t>
  </si>
  <si>
    <t>45 to 64 years - No CSC</t>
  </si>
  <si>
    <t>45 to 64 years - With CSC</t>
  </si>
  <si>
    <t>65 years + - No CSC</t>
  </si>
  <si>
    <t>65 years + - With CSC</t>
  </si>
  <si>
    <t>Subsidy share of revenue (annual)</t>
  </si>
  <si>
    <t>Access</t>
  </si>
  <si>
    <t>Co-payment share of revenue (annual)</t>
  </si>
  <si>
    <t>Interim</t>
  </si>
  <si>
    <t>NOTES</t>
  </si>
  <si>
    <t>* Average utlisation rates are based on Primary Care data on average General Practitioner visits per person in the year 2024</t>
  </si>
  <si>
    <t>** Government capitation rate is the average actual payment for each age band in the period February 2023 - January 2024</t>
  </si>
  <si>
    <t>*** Derived from Government capitation subsidy plus current fee (co-payment); the latter is an input field for the practice.</t>
  </si>
  <si>
    <t>**** Derived from the Government Capitation rate divided by the average utilisation rate.</t>
  </si>
  <si>
    <t>Annual statement for alternative practice composition</t>
  </si>
  <si>
    <t>You do not need to enter values in this sheet</t>
  </si>
  <si>
    <t>The capitation and co-payment revenue shares below are linked to the previous sheet (DO NOT ALTER THESE)</t>
  </si>
  <si>
    <t>Capitation revenue share</t>
  </si>
  <si>
    <t>Co-payment revenue split</t>
  </si>
  <si>
    <t>Year to be applied</t>
  </si>
  <si>
    <t>Total fee adjustment</t>
  </si>
  <si>
    <t>FFT capitation adjustment</t>
  </si>
  <si>
    <t>Co-payment adjustment</t>
  </si>
  <si>
    <t>(DERIVED)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</si>
  <si>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</si>
  <si>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</si>
  <si>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</si>
  <si>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</si>
  <si>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</si>
  <si>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</si>
  <si>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</si>
  <si>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</si>
  <si>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</si>
  <si>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</si>
  <si>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</si>
  <si>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</si>
  <si>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</si>
  <si>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</si>
  <si>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</si>
  <si>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</si>
  <si>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</si>
  <si>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r>
      <t xml:space="preserve">The values in red are the </t>
    </r>
    <r>
      <rPr>
        <b/>
        <sz val="12"/>
        <color indexed="8"/>
        <rFont val="Arial"/>
        <family val="2"/>
      </rPr>
      <t xml:space="preserve">annual statement </t>
    </r>
    <r>
      <rPr>
        <b/>
        <sz val="12"/>
        <color indexed="10"/>
        <rFont val="Arial"/>
        <family val="2"/>
      </rPr>
      <t>figures for the co-payment adjustment. They feed automatically through to the next sheet ('co-payment template')</t>
    </r>
  </si>
  <si>
    <t>Set to current year &gt;</t>
  </si>
  <si>
    <t>Current Year</t>
  </si>
  <si>
    <t>Co-payment adjustment for current year</t>
  </si>
  <si>
    <r>
      <t xml:space="preserve">TEMPLATE TO ADJUST FEE'S BY AGE GROUP - </t>
    </r>
    <r>
      <rPr>
        <b/>
        <sz val="15.3"/>
        <color indexed="13"/>
        <rFont val="Arial"/>
        <family val="2"/>
      </rPr>
      <t>CHECKS AGAINST CO-PAYMENT ANNUAL STATEMENT</t>
    </r>
  </si>
  <si>
    <r>
      <t xml:space="preserve">Practice to adjust $ </t>
    </r>
    <r>
      <rPr>
        <b/>
        <sz val="14"/>
        <color indexed="9"/>
        <rFont val="Arial"/>
        <family val="2"/>
      </rPr>
      <t>OR</t>
    </r>
    <r>
      <rPr>
        <b/>
        <sz val="14"/>
        <color indexed="52"/>
        <rFont val="Arial"/>
        <family val="2"/>
      </rPr>
      <t xml:space="preserve"> % change to co-payment fee (up or down) shown in </t>
    </r>
    <r>
      <rPr>
        <b/>
        <sz val="14"/>
        <color indexed="48"/>
        <rFont val="Arial"/>
        <family val="2"/>
      </rPr>
      <t xml:space="preserve">blue </t>
    </r>
    <r>
      <rPr>
        <b/>
        <sz val="14"/>
        <color indexed="52"/>
        <rFont val="Arial"/>
        <family val="2"/>
      </rPr>
      <t>(using toggles)</t>
    </r>
  </si>
  <si>
    <r>
      <t>NOTE</t>
    </r>
    <r>
      <rPr>
        <b/>
        <sz val="14"/>
        <color indexed="52"/>
        <rFont val="Arial"/>
        <family val="2"/>
      </rPr>
      <t>: You can change the co-payment fee by % or $, but not both</t>
    </r>
  </si>
  <si>
    <r>
      <t xml:space="preserve">Fee information in </t>
    </r>
    <r>
      <rPr>
        <b/>
        <sz val="14"/>
        <color indexed="23"/>
        <rFont val="Arial"/>
        <family val="2"/>
      </rPr>
      <t>grey</t>
    </r>
    <r>
      <rPr>
        <b/>
        <sz val="14"/>
        <color indexed="52"/>
        <rFont val="Arial"/>
        <family val="2"/>
      </rPr>
      <t xml:space="preserve"> below will update automatically from "revenue split" sheet</t>
    </r>
  </si>
  <si>
    <t>Negative co-payment changes for under 14 year age group do not count towards total co-payment adjustment</t>
  </si>
  <si>
    <t>Rate of GST applying on 30th June 2024 =</t>
  </si>
  <si>
    <t xml:space="preserve">Rate of GST applying to new co-payments = </t>
  </si>
  <si>
    <t>Av Utilisation rates</t>
  </si>
  <si>
    <t>30th June 2024 fee (co-payment) (excl GST)</t>
  </si>
  <si>
    <t>Co-payment change ($) (incl GST)</t>
  </si>
  <si>
    <t>Co-payment change (%) (incl GST)</t>
  </si>
  <si>
    <t>Proposed co-payment fee (excl GST)</t>
  </si>
  <si>
    <t>CSC Funding per Patient (excl GST)</t>
  </si>
  <si>
    <t>CSC Funding per Consultation (excl GST)</t>
  </si>
  <si>
    <t>Effective co-payment fee incl CSC Funding (excl GST)</t>
  </si>
  <si>
    <t>Age group co-payment change (excl GST)</t>
  </si>
  <si>
    <t>Pre increase co-payment revenue (excl GST)</t>
  </si>
  <si>
    <t>Proposed co-payment revenue (excl GST)</t>
  </si>
  <si>
    <t>Current</t>
  </si>
  <si>
    <t>Proposed</t>
  </si>
  <si>
    <t>Total co-payment revenue (excl GST)</t>
  </si>
  <si>
    <t>% change in annual co-payment revenue</t>
  </si>
  <si>
    <t>Co-payment annual statement</t>
  </si>
  <si>
    <t xml:space="preserve">      RESULT OF CHANGES:</t>
  </si>
  <si>
    <t>Breakdown of PHO Enrolment with Replaced MSD CSC Information (Oct 2017)</t>
  </si>
  <si>
    <t>Age Band</t>
  </si>
  <si>
    <t>Gender</t>
  </si>
  <si>
    <t>Non-VLCA</t>
  </si>
  <si>
    <t>VLCA</t>
  </si>
  <si>
    <t>Non-CSC</t>
  </si>
  <si>
    <t>CSC</t>
  </si>
  <si>
    <t>ACCESS</t>
  </si>
  <si>
    <t>INTERIM</t>
  </si>
  <si>
    <t>Non-HUHC</t>
  </si>
  <si>
    <t>HUHC</t>
  </si>
  <si>
    <t>0 to 4</t>
  </si>
  <si>
    <t>Female</t>
  </si>
  <si>
    <t>Male</t>
  </si>
  <si>
    <t>5 to 14</t>
  </si>
  <si>
    <t>15 to 24</t>
  </si>
  <si>
    <t>25 to 44</t>
  </si>
  <si>
    <t>45 to 64</t>
  </si>
  <si>
    <t>65+</t>
  </si>
  <si>
    <t>Proposed Annual Funding Rates from December 2018 - From Live Model excluding Nurse Consults</t>
  </si>
  <si>
    <t>First Contact</t>
  </si>
  <si>
    <t>Zero Fees</t>
  </si>
  <si>
    <t>New</t>
  </si>
  <si>
    <t>Capitation</t>
  </si>
  <si>
    <t>Age Group</t>
  </si>
  <si>
    <t>Access Practices</t>
  </si>
  <si>
    <t>Non Access Practices</t>
  </si>
  <si>
    <t>for Under</t>
  </si>
  <si>
    <t>Top-Up</t>
  </si>
  <si>
    <t>Non HUHC</t>
  </si>
  <si>
    <t>Sixes</t>
  </si>
  <si>
    <t>Fourteens</t>
  </si>
  <si>
    <t>Scheme</t>
  </si>
  <si>
    <t>CSC Only</t>
  </si>
  <si>
    <t>Outside PHO</t>
  </si>
  <si>
    <t>Total CSC Population</t>
  </si>
  <si>
    <t>GP Utilisation 2016/17</t>
  </si>
  <si>
    <t>Nurse Utilisation 2016/17</t>
  </si>
  <si>
    <t>Offered GP Utilisation Rate No CSC</t>
  </si>
  <si>
    <t>Offered GP Utilisation Rate CSC</t>
  </si>
  <si>
    <t>Offered Nurse Utilisation Rate</t>
  </si>
  <si>
    <t>Offered GP Rate per Visit (GST Incl)</t>
  </si>
  <si>
    <t>Offered Nurse Rate per Visit (GST Incl)</t>
  </si>
  <si>
    <t>Covered Population</t>
  </si>
  <si>
    <t>Estimated Cost (GST Excl)</t>
  </si>
  <si>
    <t>Derived Funding Rate (GST Excl)</t>
  </si>
  <si>
    <t>Current VLCA Rate 2018/19 (GST Excl)</t>
  </si>
  <si>
    <t>Non CSC Popn</t>
  </si>
  <si>
    <t>Registered CSC Holders</t>
  </si>
  <si>
    <t>GPNZ Utilisation Rate</t>
  </si>
  <si>
    <t>Nurse Fee Capitation Change</t>
  </si>
  <si>
    <t>0-4</t>
  </si>
  <si>
    <t>5-14</t>
  </si>
  <si>
    <t>15-24</t>
  </si>
  <si>
    <t>25-44</t>
  </si>
  <si>
    <t>N/A</t>
  </si>
  <si>
    <t>45-64</t>
  </si>
  <si>
    <t>Patients</t>
  </si>
  <si>
    <t>Capitation Amount</t>
  </si>
  <si>
    <t>Combined</t>
  </si>
  <si>
    <t>Nurse Capitation</t>
  </si>
  <si>
    <t>GP Only</t>
  </si>
  <si>
    <t>Rate GPs Only</t>
  </si>
  <si>
    <t>18-19 Template</t>
  </si>
  <si>
    <t>Calc</t>
  </si>
  <si>
    <t>Include Top Up</t>
  </si>
  <si>
    <t>Yes</t>
  </si>
  <si>
    <t>0 to 5</t>
  </si>
  <si>
    <t>6 to 13</t>
  </si>
  <si>
    <t>14 to 17</t>
  </si>
  <si>
    <t>18 to 24</t>
  </si>
  <si>
    <t>Capitation from Rates Table</t>
  </si>
  <si>
    <t>GP + Top Up</t>
  </si>
  <si>
    <t>F</t>
  </si>
  <si>
    <t>M</t>
  </si>
  <si>
    <t>All</t>
  </si>
  <si>
    <t>Youth Max CSC Fee</t>
  </si>
  <si>
    <t>Adult Max CSC Fee</t>
  </si>
  <si>
    <t>Capitation funding per person</t>
  </si>
  <si>
    <t>Funding per person</t>
  </si>
  <si>
    <t>Utilisation Rates</t>
  </si>
  <si>
    <t>No CSC</t>
  </si>
  <si>
    <t>Capitation Rate</t>
  </si>
  <si>
    <t>First contact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</si>
</sst>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8" formatCode="&quot;$&quot;#,##0.00;[Red]\-&quot;$&quot;#,##0.00"/>
    <numFmt numFmtId="164" formatCode="_(* #,##0.00_);_(* \(#,##0.00\);_(* &quot;-&quot;??_);_(@_)"/>
    <numFmt numFmtId="165" formatCode="&quot;$&quot;#,##0.00"/>
    <numFmt numFmtId="166" formatCode="0.0%"/>
    <numFmt numFmtId="167" formatCode="[$$-1409]#,##0.00"/>
    <numFmt numFmtId="168" formatCode="[$$-1409]#,##0"/>
    <numFmt numFmtId="169" formatCode="0.0"/>
    <numFmt numFmtId="170" formatCode="&quot;$&quot;#,##0"/>
    <numFmt numFmtId="171" formatCode="&quot;$&quot;#,##0.0000"/>
    <numFmt numFmtId="172" formatCode="_(* #,##0_);_(* \(#,##0\);_(* &quot;-&quot;??_);_(@_)"/>
  </numFmts>
  <fonts count="6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0"/>
      <name val="Arial"/>
      <family val="2"/>
    </font>
    <font>
      <b/>
      <sz val="20"/>
      <color indexed="9"/>
      <name val="Arial"/>
      <family val="2"/>
    </font>
    <font>
      <b/>
      <sz val="16"/>
      <color indexed="9"/>
      <name val="Arial"/>
      <family val="2"/>
    </font>
    <font>
      <b/>
      <sz val="10"/>
      <color indexed="12"/>
      <name val="Arial"/>
      <family val="2"/>
    </font>
    <font>
      <b/>
      <sz val="14"/>
      <color indexed="13"/>
      <name val="Arial"/>
      <family val="2"/>
    </font>
    <font>
      <b/>
      <sz val="12"/>
      <color indexed="53"/>
      <name val="Arial"/>
      <family val="2"/>
    </font>
    <font>
      <sz val="10"/>
      <color indexed="12"/>
      <name val="Arial"/>
      <family val="2"/>
    </font>
    <font>
      <b/>
      <sz val="18"/>
      <color indexed="9"/>
      <name val="Arial"/>
      <family val="2"/>
    </font>
    <font>
      <b/>
      <sz val="15.3"/>
      <color indexed="13"/>
      <name val="Arial"/>
      <family val="2"/>
    </font>
    <font>
      <sz val="14"/>
      <color indexed="13"/>
      <name val="Arial"/>
      <family val="2"/>
    </font>
    <font>
      <b/>
      <sz val="14"/>
      <color indexed="52"/>
      <name val="Arial"/>
      <family val="2"/>
    </font>
    <font>
      <sz val="12"/>
      <color indexed="52"/>
      <name val="Arial"/>
      <family val="2"/>
    </font>
    <font>
      <b/>
      <sz val="16"/>
      <color indexed="52"/>
      <name val="Arial"/>
      <family val="2"/>
    </font>
    <font>
      <b/>
      <sz val="11.9"/>
      <color indexed="10"/>
      <name val="Arial"/>
      <family val="2"/>
    </font>
    <font>
      <b/>
      <sz val="14"/>
      <color indexed="48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4"/>
      <color indexed="23"/>
      <name val="Arial"/>
      <family val="2"/>
    </font>
    <font>
      <b/>
      <sz val="14"/>
      <color indexed="9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sz val="10"/>
      <color indexed="61"/>
      <name val="Arial"/>
      <family val="2"/>
    </font>
    <font>
      <sz val="8"/>
      <color indexed="22"/>
      <name val="Arial"/>
      <family val="2"/>
    </font>
    <font>
      <b/>
      <sz val="11"/>
      <color indexed="10"/>
      <name val="Arial"/>
      <family val="2"/>
    </font>
    <font>
      <b/>
      <sz val="16"/>
      <color indexed="51"/>
      <name val="Arial"/>
      <family val="2"/>
    </font>
    <font>
      <b/>
      <u/>
      <sz val="12"/>
      <color indexed="52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indexed="22"/>
      <name val="Arial"/>
      <family val="2"/>
    </font>
    <font>
      <b/>
      <sz val="11"/>
      <name val="Arial"/>
      <family val="2"/>
    </font>
    <font>
      <sz val="11"/>
      <color indexed="61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sz val="14"/>
      <color theme="1"/>
      <name val="Cambria"/>
      <family val="1"/>
    </font>
    <font>
      <b/>
      <sz val="10"/>
      <color theme="1"/>
      <name val="Cambria"/>
      <family val="1"/>
    </font>
    <font>
      <b/>
      <sz val="10"/>
      <color rgb="FF808080"/>
      <name val="Arial"/>
      <family val="2"/>
    </font>
    <font>
      <b/>
      <sz val="16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47" fillId="9" borderId="0" applyNumberFormat="0" applyBorder="0" applyAlignment="0" applyProtection="0"/>
    <xf numFmtId="0" fontId="48" fillId="10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9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9" fillId="3" borderId="0" xfId="0" applyFont="1" applyFill="1"/>
    <xf numFmtId="0" fontId="7" fillId="3" borderId="0" xfId="0" applyFont="1" applyFill="1"/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167" fontId="0" fillId="3" borderId="2" xfId="0" applyNumberFormat="1" applyFill="1" applyBorder="1" applyAlignment="1">
      <alignment horizontal="center" vertical="center"/>
    </xf>
    <xf numFmtId="167" fontId="0" fillId="3" borderId="0" xfId="0" applyNumberFormat="1" applyFill="1" applyAlignment="1">
      <alignment horizontal="center" vertical="center"/>
    </xf>
    <xf numFmtId="167" fontId="4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167" fontId="8" fillId="3" borderId="0" xfId="0" applyNumberFormat="1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7" fontId="0" fillId="4" borderId="3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11" xfId="0" applyFont="1" applyFill="1" applyBorder="1" applyAlignment="1">
      <alignment horizontal="center"/>
    </xf>
    <xf numFmtId="0" fontId="0" fillId="2" borderId="12" xfId="0" applyFill="1" applyBorder="1"/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wrapText="1"/>
    </xf>
    <xf numFmtId="168" fontId="12" fillId="5" borderId="0" xfId="0" applyNumberFormat="1" applyFont="1" applyFill="1" applyAlignment="1">
      <alignment horizontal="center"/>
    </xf>
    <xf numFmtId="0" fontId="15" fillId="5" borderId="0" xfId="0" applyFont="1" applyFill="1"/>
    <xf numFmtId="167" fontId="0" fillId="5" borderId="0" xfId="0" applyNumberFormat="1" applyFill="1" applyAlignment="1">
      <alignment horizontal="center" vertical="center"/>
    </xf>
    <xf numFmtId="167" fontId="15" fillId="5" borderId="0" xfId="0" applyNumberFormat="1" applyFont="1" applyFill="1" applyAlignment="1">
      <alignment horizontal="center" vertical="center"/>
    </xf>
    <xf numFmtId="167" fontId="12" fillId="0" borderId="3" xfId="0" applyNumberFormat="1" applyFont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18" fillId="6" borderId="0" xfId="0" applyFont="1" applyFill="1"/>
    <xf numFmtId="0" fontId="19" fillId="6" borderId="0" xfId="0" applyFont="1" applyFill="1"/>
    <xf numFmtId="0" fontId="9" fillId="6" borderId="0" xfId="0" applyFont="1" applyFill="1"/>
    <xf numFmtId="0" fontId="20" fillId="6" borderId="0" xfId="0" applyFont="1" applyFill="1"/>
    <xf numFmtId="0" fontId="7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9" fontId="5" fillId="2" borderId="6" xfId="4" applyFont="1" applyFill="1" applyBorder="1" applyAlignment="1">
      <alignment horizontal="center"/>
    </xf>
    <xf numFmtId="9" fontId="5" fillId="2" borderId="14" xfId="4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1" fillId="6" borderId="0" xfId="0" applyFont="1" applyFill="1"/>
    <xf numFmtId="0" fontId="22" fillId="6" borderId="0" xfId="0" applyFont="1" applyFill="1"/>
    <xf numFmtId="0" fontId="5" fillId="2" borderId="14" xfId="0" applyFont="1" applyFill="1" applyBorder="1" applyAlignment="1">
      <alignment horizontal="center"/>
    </xf>
    <xf numFmtId="167" fontId="6" fillId="4" borderId="5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6" fillId="4" borderId="14" xfId="0" applyFont="1" applyFill="1" applyBorder="1" applyAlignment="1">
      <alignment horizontal="center" vertical="center"/>
    </xf>
    <xf numFmtId="167" fontId="26" fillId="4" borderId="3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167" fontId="27" fillId="3" borderId="2" xfId="0" applyNumberFormat="1" applyFont="1" applyFill="1" applyBorder="1" applyAlignment="1">
      <alignment horizontal="center" vertical="center"/>
    </xf>
    <xf numFmtId="167" fontId="6" fillId="4" borderId="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16" fillId="7" borderId="0" xfId="0" applyFont="1" applyFill="1" applyAlignment="1">
      <alignment horizontal="left"/>
    </xf>
    <xf numFmtId="0" fontId="30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167" fontId="12" fillId="4" borderId="5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>
      <alignment horizontal="center" vertical="center"/>
    </xf>
    <xf numFmtId="10" fontId="6" fillId="4" borderId="3" xfId="0" applyNumberFormat="1" applyFont="1" applyFill="1" applyBorder="1" applyAlignment="1">
      <alignment horizontal="center" vertical="center"/>
    </xf>
    <xf numFmtId="168" fontId="6" fillId="3" borderId="0" xfId="0" applyNumberFormat="1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167" fontId="26" fillId="3" borderId="0" xfId="0" applyNumberFormat="1" applyFont="1" applyFill="1" applyAlignment="1">
      <alignment horizontal="center" vertical="center"/>
    </xf>
    <xf numFmtId="0" fontId="32" fillId="5" borderId="0" xfId="0" applyFont="1" applyFill="1" applyAlignment="1">
      <alignment horizontal="left"/>
    </xf>
    <xf numFmtId="0" fontId="32" fillId="5" borderId="0" xfId="0" applyFont="1" applyFill="1" applyAlignment="1">
      <alignment horizontal="center"/>
    </xf>
    <xf numFmtId="166" fontId="1" fillId="5" borderId="0" xfId="4" applyNumberForma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6" xfId="0" applyFill="1" applyBorder="1"/>
    <xf numFmtId="0" fontId="5" fillId="2" borderId="17" xfId="0" applyFont="1" applyFill="1" applyBorder="1" applyAlignment="1">
      <alignment horizontal="center"/>
    </xf>
    <xf numFmtId="0" fontId="0" fillId="2" borderId="17" xfId="0" applyFill="1" applyBorder="1"/>
    <xf numFmtId="10" fontId="9" fillId="2" borderId="14" xfId="0" applyNumberFormat="1" applyFont="1" applyFill="1" applyBorder="1" applyAlignment="1">
      <alignment horizontal="center"/>
    </xf>
    <xf numFmtId="10" fontId="9" fillId="2" borderId="3" xfId="0" applyNumberFormat="1" applyFont="1" applyFill="1" applyBorder="1" applyAlignment="1">
      <alignment horizontal="center"/>
    </xf>
    <xf numFmtId="0" fontId="34" fillId="2" borderId="0" xfId="0" applyFont="1" applyFill="1"/>
    <xf numFmtId="0" fontId="5" fillId="5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167" fontId="27" fillId="3" borderId="0" xfId="0" applyNumberFormat="1" applyFont="1" applyFill="1" applyAlignment="1">
      <alignment horizontal="center" vertical="center"/>
    </xf>
    <xf numFmtId="0" fontId="35" fillId="6" borderId="0" xfId="0" applyFont="1" applyFill="1"/>
    <xf numFmtId="166" fontId="30" fillId="3" borderId="0" xfId="0" applyNumberFormat="1" applyFont="1" applyFill="1" applyAlignment="1">
      <alignment horizontal="center" vertical="center"/>
    </xf>
    <xf numFmtId="166" fontId="19" fillId="6" borderId="0" xfId="0" applyNumberFormat="1" applyFont="1" applyFill="1" applyAlignment="1">
      <alignment horizontal="left"/>
    </xf>
    <xf numFmtId="167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3" fontId="49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9" fontId="49" fillId="0" borderId="0" xfId="0" applyNumberFormat="1" applyFont="1" applyAlignment="1">
      <alignment horizontal="center"/>
    </xf>
    <xf numFmtId="0" fontId="6" fillId="11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top"/>
    </xf>
    <xf numFmtId="0" fontId="50" fillId="2" borderId="0" xfId="0" applyFont="1" applyFill="1"/>
    <xf numFmtId="0" fontId="37" fillId="0" borderId="0" xfId="0" applyFont="1"/>
    <xf numFmtId="0" fontId="37" fillId="2" borderId="0" xfId="0" applyFont="1" applyFill="1"/>
    <xf numFmtId="2" fontId="26" fillId="4" borderId="14" xfId="0" applyNumberFormat="1" applyFont="1" applyFill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10" fontId="9" fillId="2" borderId="13" xfId="0" applyNumberFormat="1" applyFont="1" applyFill="1" applyBorder="1" applyAlignment="1">
      <alignment horizontal="center"/>
    </xf>
    <xf numFmtId="10" fontId="12" fillId="4" borderId="18" xfId="4" applyNumberFormat="1" applyFont="1" applyFill="1" applyBorder="1" applyAlignment="1" applyProtection="1">
      <alignment horizontal="center" vertical="center"/>
    </xf>
    <xf numFmtId="10" fontId="12" fillId="4" borderId="18" xfId="4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top" wrapText="1"/>
    </xf>
    <xf numFmtId="0" fontId="38" fillId="5" borderId="0" xfId="0" applyFont="1" applyFill="1" applyAlignment="1">
      <alignment horizontal="left" vertical="top" wrapText="1"/>
    </xf>
    <xf numFmtId="0" fontId="37" fillId="2" borderId="0" xfId="0" applyFont="1" applyFill="1" applyAlignment="1">
      <alignment horizontal="left" vertical="top"/>
    </xf>
    <xf numFmtId="0" fontId="37" fillId="5" borderId="0" xfId="0" applyFont="1" applyFill="1" applyAlignment="1">
      <alignment horizontal="left" vertical="top"/>
    </xf>
    <xf numFmtId="0" fontId="39" fillId="5" borderId="0" xfId="0" applyFont="1" applyFill="1" applyAlignment="1">
      <alignment horizontal="left" vertical="top"/>
    </xf>
    <xf numFmtId="168" fontId="40" fillId="12" borderId="0" xfId="0" applyNumberFormat="1" applyFont="1" applyFill="1" applyAlignment="1">
      <alignment horizontal="left" vertical="top"/>
    </xf>
    <xf numFmtId="0" fontId="37" fillId="2" borderId="0" xfId="0" applyFont="1" applyFill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0" fontId="37" fillId="12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167" fontId="0" fillId="3" borderId="2" xfId="0" applyNumberFormat="1" applyFill="1" applyBorder="1" applyAlignment="1">
      <alignment horizontal="left" vertical="top"/>
    </xf>
    <xf numFmtId="167" fontId="0" fillId="3" borderId="0" xfId="0" applyNumberFormat="1" applyFill="1" applyAlignment="1">
      <alignment horizontal="left" vertical="top"/>
    </xf>
    <xf numFmtId="167" fontId="4" fillId="3" borderId="2" xfId="0" applyNumberFormat="1" applyFont="1" applyFill="1" applyBorder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31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167" fontId="34" fillId="3" borderId="0" xfId="0" applyNumberFormat="1" applyFont="1" applyFill="1" applyAlignment="1">
      <alignment horizontal="left" vertical="center"/>
    </xf>
    <xf numFmtId="0" fontId="41" fillId="5" borderId="0" xfId="0" applyFont="1" applyFill="1" applyAlignment="1">
      <alignment horizontal="left"/>
    </xf>
    <xf numFmtId="0" fontId="37" fillId="3" borderId="0" xfId="0" applyFont="1" applyFill="1"/>
    <xf numFmtId="167" fontId="37" fillId="3" borderId="0" xfId="0" applyNumberFormat="1" applyFont="1" applyFill="1" applyAlignment="1">
      <alignment horizontal="center" vertical="center"/>
    </xf>
    <xf numFmtId="0" fontId="37" fillId="5" borderId="0" xfId="0" applyFont="1" applyFill="1"/>
    <xf numFmtId="0" fontId="41" fillId="5" borderId="0" xfId="0" applyFont="1" applyFill="1" applyAlignment="1">
      <alignment horizontal="center"/>
    </xf>
    <xf numFmtId="0" fontId="37" fillId="3" borderId="0" xfId="0" applyFont="1" applyFill="1" applyAlignment="1">
      <alignment horizontal="center" vertical="center"/>
    </xf>
    <xf numFmtId="10" fontId="40" fillId="3" borderId="0" xfId="0" applyNumberFormat="1" applyFont="1" applyFill="1" applyAlignment="1">
      <alignment horizontal="center" vertical="center"/>
    </xf>
    <xf numFmtId="10" fontId="34" fillId="3" borderId="0" xfId="4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wrapText="1"/>
    </xf>
    <xf numFmtId="0" fontId="37" fillId="12" borderId="0" xfId="0" applyFont="1" applyFill="1"/>
    <xf numFmtId="0" fontId="37" fillId="2" borderId="0" xfId="0" applyFont="1" applyFill="1" applyAlignment="1">
      <alignment wrapText="1"/>
    </xf>
    <xf numFmtId="0" fontId="39" fillId="5" borderId="0" xfId="0" applyFont="1" applyFill="1"/>
    <xf numFmtId="0" fontId="2" fillId="5" borderId="0" xfId="0" applyFont="1" applyFill="1" applyAlignment="1">
      <alignment horizontal="center" vertical="center"/>
    </xf>
    <xf numFmtId="167" fontId="51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167" fontId="9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4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left" vertical="top"/>
    </xf>
    <xf numFmtId="0" fontId="43" fillId="2" borderId="0" xfId="0" applyFont="1" applyFill="1"/>
    <xf numFmtId="0" fontId="2" fillId="2" borderId="0" xfId="0" applyFont="1" applyFill="1"/>
    <xf numFmtId="0" fontId="2" fillId="0" borderId="0" xfId="0" applyFont="1"/>
    <xf numFmtId="10" fontId="5" fillId="5" borderId="0" xfId="0" applyNumberFormat="1" applyFont="1" applyFill="1" applyAlignment="1">
      <alignment horizontal="center" vertical="top"/>
    </xf>
    <xf numFmtId="167" fontId="5" fillId="4" borderId="3" xfId="0" applyNumberFormat="1" applyFont="1" applyFill="1" applyBorder="1" applyAlignment="1">
      <alignment horizontal="center" vertical="center"/>
    </xf>
    <xf numFmtId="168" fontId="44" fillId="5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10" fontId="9" fillId="3" borderId="0" xfId="4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0" fontId="3" fillId="13" borderId="14" xfId="0" applyFont="1" applyFill="1" applyBorder="1" applyAlignment="1" applyProtection="1">
      <alignment horizontal="center" vertical="center"/>
      <protection locked="0"/>
    </xf>
    <xf numFmtId="167" fontId="3" fillId="14" borderId="3" xfId="0" applyNumberFormat="1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 vertical="center"/>
    </xf>
    <xf numFmtId="2" fontId="27" fillId="3" borderId="2" xfId="0" applyNumberFormat="1" applyFont="1" applyFill="1" applyBorder="1" applyAlignment="1">
      <alignment horizontal="center" vertical="center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3" fillId="12" borderId="17" xfId="0" applyFont="1" applyFill="1" applyBorder="1"/>
    <xf numFmtId="0" fontId="53" fillId="12" borderId="3" xfId="0" applyFont="1" applyFill="1" applyBorder="1" applyAlignment="1">
      <alignment horizontal="centerContinuous"/>
    </xf>
    <xf numFmtId="0" fontId="53" fillId="12" borderId="13" xfId="0" applyFont="1" applyFill="1" applyBorder="1"/>
    <xf numFmtId="0" fontId="53" fillId="12" borderId="14" xfId="0" applyFont="1" applyFill="1" applyBorder="1"/>
    <xf numFmtId="0" fontId="53" fillId="12" borderId="3" xfId="0" applyFont="1" applyFill="1" applyBorder="1" applyAlignment="1">
      <alignment horizontal="center"/>
    </xf>
    <xf numFmtId="0" fontId="53" fillId="12" borderId="3" xfId="0" applyFont="1" applyFill="1" applyBorder="1" applyAlignment="1">
      <alignment vertical="center"/>
    </xf>
    <xf numFmtId="3" fontId="54" fillId="0" borderId="3" xfId="0" applyNumberFormat="1" applyFont="1" applyBorder="1"/>
    <xf numFmtId="0" fontId="5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3" fillId="12" borderId="17" xfId="0" applyFont="1" applyFill="1" applyBorder="1" applyAlignment="1">
      <alignment horizontal="centerContinuous" vertical="center"/>
    </xf>
    <xf numFmtId="0" fontId="53" fillId="12" borderId="19" xfId="0" applyFont="1" applyFill="1" applyBorder="1" applyAlignment="1">
      <alignment horizontal="centerContinuous" vertical="center"/>
    </xf>
    <xf numFmtId="0" fontId="53" fillId="12" borderId="20" xfId="0" applyFont="1" applyFill="1" applyBorder="1" applyAlignment="1">
      <alignment horizontal="centerContinuous" vertical="center"/>
    </xf>
    <xf numFmtId="0" fontId="53" fillId="12" borderId="21" xfId="0" applyFont="1" applyFill="1" applyBorder="1" applyAlignment="1">
      <alignment horizontal="centerContinuous" vertical="center"/>
    </xf>
    <xf numFmtId="0" fontId="53" fillId="12" borderId="17" xfId="0" applyFont="1" applyFill="1" applyBorder="1" applyAlignment="1">
      <alignment vertical="center"/>
    </xf>
    <xf numFmtId="0" fontId="53" fillId="15" borderId="17" xfId="0" applyFont="1" applyFill="1" applyBorder="1" applyAlignment="1">
      <alignment horizontal="center" vertical="center"/>
    </xf>
    <xf numFmtId="0" fontId="53" fillId="12" borderId="13" xfId="0" applyFont="1" applyFill="1" applyBorder="1" applyAlignment="1">
      <alignment horizontal="left" vertical="center"/>
    </xf>
    <xf numFmtId="0" fontId="53" fillId="12" borderId="22" xfId="0" applyFont="1" applyFill="1" applyBorder="1" applyAlignment="1">
      <alignment horizontal="left" vertical="center"/>
    </xf>
    <xf numFmtId="0" fontId="53" fillId="12" borderId="5" xfId="0" applyFont="1" applyFill="1" applyBorder="1" applyAlignment="1">
      <alignment horizontal="centerContinuous" vertical="center"/>
    </xf>
    <xf numFmtId="0" fontId="53" fillId="12" borderId="4" xfId="0" applyFont="1" applyFill="1" applyBorder="1" applyAlignment="1">
      <alignment horizontal="centerContinuous" vertical="center"/>
    </xf>
    <xf numFmtId="0" fontId="53" fillId="12" borderId="1" xfId="0" applyFont="1" applyFill="1" applyBorder="1" applyAlignment="1">
      <alignment horizontal="centerContinuous" vertical="center"/>
    </xf>
    <xf numFmtId="0" fontId="53" fillId="12" borderId="13" xfId="0" applyFont="1" applyFill="1" applyBorder="1" applyAlignment="1">
      <alignment horizontal="centerContinuous" vertical="center"/>
    </xf>
    <xf numFmtId="0" fontId="53" fillId="15" borderId="13" xfId="0" applyFont="1" applyFill="1" applyBorder="1" applyAlignment="1">
      <alignment horizontal="center" vertical="center"/>
    </xf>
    <xf numFmtId="0" fontId="53" fillId="12" borderId="14" xfId="0" applyFont="1" applyFill="1" applyBorder="1" applyAlignment="1">
      <alignment horizontal="centerContinuous" vertical="center"/>
    </xf>
    <xf numFmtId="0" fontId="53" fillId="12" borderId="6" xfId="0" applyFont="1" applyFill="1" applyBorder="1" applyAlignment="1">
      <alignment horizontal="centerContinuous" vertical="center"/>
    </xf>
    <xf numFmtId="0" fontId="53" fillId="12" borderId="3" xfId="0" applyFont="1" applyFill="1" applyBorder="1" applyAlignment="1">
      <alignment horizontal="centerContinuous" vertical="center"/>
    </xf>
    <xf numFmtId="0" fontId="53" fillId="12" borderId="14" xfId="0" applyFont="1" applyFill="1" applyBorder="1" applyAlignment="1">
      <alignment vertical="center"/>
    </xf>
    <xf numFmtId="0" fontId="53" fillId="15" borderId="14" xfId="0" applyFont="1" applyFill="1" applyBorder="1" applyAlignment="1">
      <alignment horizontal="center" vertical="center"/>
    </xf>
    <xf numFmtId="0" fontId="53" fillId="12" borderId="22" xfId="0" applyFont="1" applyFill="1" applyBorder="1" applyAlignment="1">
      <alignment vertical="center"/>
    </xf>
    <xf numFmtId="171" fontId="54" fillId="0" borderId="3" xfId="0" applyNumberFormat="1" applyFont="1" applyBorder="1" applyAlignment="1">
      <alignment horizontal="center" vertical="center"/>
    </xf>
    <xf numFmtId="171" fontId="54" fillId="16" borderId="3" xfId="0" applyNumberFormat="1" applyFont="1" applyFill="1" applyBorder="1" applyAlignment="1">
      <alignment horizontal="center" vertical="center"/>
    </xf>
    <xf numFmtId="171" fontId="54" fillId="17" borderId="3" xfId="0" applyNumberFormat="1" applyFont="1" applyFill="1" applyBorder="1" applyAlignment="1">
      <alignment horizontal="center" vertical="center"/>
    </xf>
    <xf numFmtId="171" fontId="0" fillId="0" borderId="0" xfId="0" applyNumberFormat="1"/>
    <xf numFmtId="3" fontId="0" fillId="0" borderId="0" xfId="0" applyNumberFormat="1"/>
    <xf numFmtId="0" fontId="56" fillId="12" borderId="3" xfId="0" applyFont="1" applyFill="1" applyBorder="1" applyAlignment="1">
      <alignment vertical="top" wrapText="1"/>
    </xf>
    <xf numFmtId="0" fontId="0" fillId="0" borderId="3" xfId="0" applyBorder="1"/>
    <xf numFmtId="3" fontId="0" fillId="0" borderId="3" xfId="0" applyNumberFormat="1" applyBorder="1"/>
    <xf numFmtId="4" fontId="0" fillId="0" borderId="3" xfId="0" applyNumberFormat="1" applyBorder="1"/>
    <xf numFmtId="4" fontId="0" fillId="18" borderId="3" xfId="0" applyNumberFormat="1" applyFill="1" applyBorder="1"/>
    <xf numFmtId="0" fontId="0" fillId="18" borderId="3" xfId="0" applyFill="1" applyBorder="1"/>
    <xf numFmtId="3" fontId="0" fillId="18" borderId="3" xfId="0" applyNumberFormat="1" applyFill="1" applyBorder="1"/>
    <xf numFmtId="170" fontId="0" fillId="18" borderId="3" xfId="0" applyNumberFormat="1" applyFill="1" applyBorder="1"/>
    <xf numFmtId="171" fontId="0" fillId="19" borderId="3" xfId="0" applyNumberFormat="1" applyFill="1" applyBorder="1"/>
    <xf numFmtId="165" fontId="0" fillId="18" borderId="3" xfId="0" applyNumberFormat="1" applyFill="1" applyBorder="1"/>
    <xf numFmtId="0" fontId="56" fillId="12" borderId="13" xfId="0" applyFont="1" applyFill="1" applyBorder="1" applyAlignment="1">
      <alignment vertical="top" wrapText="1"/>
    </xf>
    <xf numFmtId="2" fontId="0" fillId="0" borderId="0" xfId="0" applyNumberFormat="1"/>
    <xf numFmtId="170" fontId="0" fillId="0" borderId="0" xfId="0" applyNumberFormat="1"/>
    <xf numFmtId="172" fontId="0" fillId="0" borderId="0" xfId="3" applyNumberFormat="1" applyFont="1"/>
    <xf numFmtId="171" fontId="54" fillId="0" borderId="0" xfId="0" applyNumberFormat="1" applyFont="1" applyAlignment="1">
      <alignment horizontal="center" vertical="center"/>
    </xf>
    <xf numFmtId="4" fontId="0" fillId="0" borderId="0" xfId="0" applyNumberFormat="1"/>
    <xf numFmtId="165" fontId="0" fillId="0" borderId="0" xfId="0" applyNumberFormat="1"/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vertical="center"/>
    </xf>
    <xf numFmtId="0" fontId="53" fillId="12" borderId="19" xfId="0" applyFont="1" applyFill="1" applyBorder="1" applyAlignment="1">
      <alignment vertical="center"/>
    </xf>
    <xf numFmtId="3" fontId="0" fillId="0" borderId="14" xfId="0" applyNumberFormat="1" applyBorder="1"/>
    <xf numFmtId="0" fontId="0" fillId="0" borderId="14" xfId="0" applyBorder="1"/>
    <xf numFmtId="8" fontId="0" fillId="0" borderId="0" xfId="0" applyNumberFormat="1"/>
    <xf numFmtId="167" fontId="57" fillId="4" borderId="5" xfId="0" applyNumberFormat="1" applyFont="1" applyFill="1" applyBorder="1" applyAlignment="1">
      <alignment horizontal="center" vertical="center"/>
    </xf>
    <xf numFmtId="0" fontId="57" fillId="4" borderId="1" xfId="0" applyFont="1" applyFill="1" applyBorder="1" applyAlignment="1" applyProtection="1">
      <alignment horizontal="center" vertical="center"/>
      <protection locked="0"/>
    </xf>
    <xf numFmtId="0" fontId="57" fillId="4" borderId="2" xfId="0" applyFont="1" applyFill="1" applyBorder="1" applyAlignment="1">
      <alignment horizontal="center" vertical="center"/>
    </xf>
    <xf numFmtId="10" fontId="57" fillId="4" borderId="18" xfId="4" applyNumberFormat="1" applyFont="1" applyFill="1" applyBorder="1" applyAlignment="1" applyProtection="1">
      <alignment horizontal="center" vertical="center"/>
      <protection locked="0"/>
    </xf>
    <xf numFmtId="0" fontId="57" fillId="4" borderId="6" xfId="0" applyFont="1" applyFill="1" applyBorder="1" applyAlignment="1">
      <alignment horizontal="center" vertical="center"/>
    </xf>
    <xf numFmtId="2" fontId="48" fillId="10" borderId="0" xfId="2" applyNumberFormat="1"/>
    <xf numFmtId="0" fontId="0" fillId="0" borderId="0" xfId="0" applyAlignment="1">
      <alignment horizontal="right"/>
    </xf>
    <xf numFmtId="0" fontId="6" fillId="3" borderId="0" xfId="0" applyFont="1" applyFill="1" applyAlignment="1">
      <alignment horizontal="left" vertical="top" indent="1"/>
    </xf>
    <xf numFmtId="0" fontId="6" fillId="4" borderId="3" xfId="0" applyFont="1" applyFill="1" applyBorder="1" applyAlignment="1">
      <alignment horizontal="left" vertical="center" indent="1"/>
    </xf>
    <xf numFmtId="0" fontId="6" fillId="3" borderId="0" xfId="0" applyFont="1" applyFill="1" applyAlignment="1">
      <alignment horizontal="left" vertical="center" indent="1"/>
    </xf>
    <xf numFmtId="0" fontId="6" fillId="4" borderId="5" xfId="0" applyFont="1" applyFill="1" applyBorder="1" applyAlignment="1">
      <alignment horizontal="left" vertical="center" indent="1"/>
    </xf>
    <xf numFmtId="0" fontId="6" fillId="4" borderId="5" xfId="0" applyFont="1" applyFill="1" applyBorder="1" applyAlignment="1">
      <alignment horizontal="left" vertical="top" indent="1"/>
    </xf>
    <xf numFmtId="0" fontId="6" fillId="4" borderId="3" xfId="0" applyFont="1" applyFill="1" applyBorder="1" applyAlignment="1">
      <alignment horizontal="left" vertical="top" indent="1"/>
    </xf>
    <xf numFmtId="2" fontId="45" fillId="0" borderId="3" xfId="0" applyNumberFormat="1" applyFont="1" applyBorder="1" applyAlignment="1">
      <alignment horizontal="center" vertical="center"/>
    </xf>
    <xf numFmtId="165" fontId="45" fillId="0" borderId="3" xfId="0" applyNumberFormat="1" applyFont="1" applyBorder="1" applyAlignment="1">
      <alignment horizontal="center" vertical="center"/>
    </xf>
    <xf numFmtId="0" fontId="45" fillId="5" borderId="0" xfId="0" applyFont="1" applyFill="1" applyAlignment="1">
      <alignment wrapText="1"/>
    </xf>
    <xf numFmtId="165" fontId="45" fillId="5" borderId="0" xfId="0" applyNumberFormat="1" applyFont="1" applyFill="1" applyAlignment="1">
      <alignment wrapText="1"/>
    </xf>
    <xf numFmtId="169" fontId="46" fillId="5" borderId="0" xfId="0" applyNumberFormat="1" applyFont="1" applyFill="1" applyAlignment="1">
      <alignment horizontal="center"/>
    </xf>
    <xf numFmtId="165" fontId="46" fillId="5" borderId="0" xfId="0" applyNumberFormat="1" applyFont="1" applyFill="1" applyAlignment="1">
      <alignment horizontal="center"/>
    </xf>
    <xf numFmtId="169" fontId="46" fillId="5" borderId="0" xfId="0" applyNumberFormat="1" applyFont="1" applyFill="1" applyAlignment="1">
      <alignment horizontal="center" vertical="center"/>
    </xf>
    <xf numFmtId="165" fontId="46" fillId="5" borderId="0" xfId="0" applyNumberFormat="1" applyFont="1" applyFill="1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5" fillId="2" borderId="15" xfId="0" applyFont="1" applyFill="1" applyBorder="1" applyAlignment="1">
      <alignment horizontal="center"/>
    </xf>
    <xf numFmtId="10" fontId="2" fillId="2" borderId="15" xfId="0" applyNumberFormat="1" applyFont="1" applyFill="1" applyBorder="1" applyAlignment="1">
      <alignment horizontal="center"/>
    </xf>
    <xf numFmtId="10" fontId="9" fillId="2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/>
    </xf>
    <xf numFmtId="167" fontId="1" fillId="5" borderId="0" xfId="0" applyNumberFormat="1" applyFont="1" applyFill="1" applyAlignment="1">
      <alignment horizontal="center" vertical="center"/>
    </xf>
    <xf numFmtId="9" fontId="25" fillId="0" borderId="0" xfId="0" applyNumberFormat="1" applyFont="1"/>
    <xf numFmtId="9" fontId="25" fillId="2" borderId="0" xfId="0" applyNumberFormat="1" applyFont="1" applyFill="1"/>
    <xf numFmtId="166" fontId="8" fillId="6" borderId="0" xfId="0" applyNumberFormat="1" applyFont="1" applyFill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center" vertical="center"/>
    </xf>
    <xf numFmtId="166" fontId="31" fillId="5" borderId="0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2" borderId="0" xfId="0" applyFont="1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10" fontId="9" fillId="2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0" fillId="2" borderId="11" xfId="0" applyFill="1" applyBorder="1"/>
    <xf numFmtId="0" fontId="10" fillId="7" borderId="0" xfId="0" applyFont="1" applyFill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2" fontId="58" fillId="9" borderId="0" xfId="1" applyNumberFormat="1" applyFont="1" applyBorder="1" applyAlignment="1" applyProtection="1">
      <alignment horizontal="center" vertical="center"/>
      <protection locked="0"/>
    </xf>
    <xf numFmtId="0" fontId="61" fillId="2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21" fillId="7" borderId="0" xfId="0" applyFont="1" applyFill="1" applyAlignment="1">
      <alignment horizontal="center"/>
    </xf>
    <xf numFmtId="0" fontId="11" fillId="6" borderId="0" xfId="0" applyFont="1" applyFill="1" applyAlignment="1">
      <alignment vertical="center" wrapText="1"/>
    </xf>
    <xf numFmtId="0" fontId="0" fillId="0" borderId="0" xfId="0"/>
    <xf numFmtId="0" fontId="0" fillId="3" borderId="0" xfId="0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67" fontId="51" fillId="3" borderId="21" xfId="0" applyNumberFormat="1" applyFont="1" applyFill="1" applyBorder="1" applyAlignment="1">
      <alignment horizontal="center" vertical="center" wrapText="1"/>
    </xf>
    <xf numFmtId="167" fontId="51" fillId="3" borderId="0" xfId="0" applyNumberFormat="1" applyFont="1" applyFill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4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3" fillId="12" borderId="17" xfId="0" applyFont="1" applyFill="1" applyBorder="1" applyAlignment="1">
      <alignment horizontal="left" vertical="center" wrapText="1"/>
    </xf>
    <xf numFmtId="0" fontId="53" fillId="12" borderId="14" xfId="0" applyFont="1" applyFill="1" applyBorder="1" applyAlignment="1">
      <alignment horizontal="left" vertical="center" wrapText="1"/>
    </xf>
    <xf numFmtId="0" fontId="53" fillId="12" borderId="3" xfId="0" applyFont="1" applyFill="1" applyBorder="1" applyAlignment="1">
      <alignment horizontal="left" vertical="center" wrapText="1"/>
    </xf>
  </cellXfs>
  <cellStyles count="5">
    <cellStyle name="60% - Accent5" xfId="1" builtinId="48"/>
    <cellStyle name="Bad" xfId="2" builtinId="27"/>
    <cellStyle name="Comma" xfId="3" builtinId="3"/>
    <cellStyle name="Normal" xfId="0" builtinId="0"/>
    <cellStyle name="Percent" xfId="4" builtinId="5"/>
  </cellStyles>
  <dxfs count="33"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31"/>
        </patternFill>
      </fill>
      <border>
        <left/>
        <right/>
        <top/>
        <bottom/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9" defaultPivotStyle="PivotStyleLight16">
    <tableStyle name="Invisible" pivot="0" table="0" count="0" xr9:uid="{52EF95F9-811C-491A-877F-188A0758204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trlProps/ctrlProp1.xml><?xml version="1.0" encoding="utf-8"?>
<formControlPr xmlns="http://schemas.microsoft.com/office/spreadsheetml/2009/9/main" objectType="Spin" dx="15" fmlaLink="#REF!" max="401" page="10" val="201"/>
</file>

<file path=xl/ctrlProps/ctrlProp10.xml><?xml version="1.0" encoding="utf-8"?>
<formControlPr xmlns="http://schemas.microsoft.com/office/spreadsheetml/2009/9/main" objectType="Spin" dx="15" fmlaLink="#REF!" max="401" page="10" val="201"/>
</file>

<file path=xl/ctrlProps/ctrlProp11.xml><?xml version="1.0" encoding="utf-8"?>
<formControlPr xmlns="http://schemas.microsoft.com/office/spreadsheetml/2009/9/main" objectType="Spin" dx="15" fmlaLink="#REF!" max="401" page="10" val="201"/>
</file>

<file path=xl/ctrlProps/ctrlProp12.xml><?xml version="1.0" encoding="utf-8"?>
<formControlPr xmlns="http://schemas.microsoft.com/office/spreadsheetml/2009/9/main" objectType="Spin" dx="15" fmlaLink="#REF!" max="401" page="10" val="201"/>
</file>

<file path=xl/ctrlProps/ctrlProp13.xml><?xml version="1.0" encoding="utf-8"?>
<formControlPr xmlns="http://schemas.microsoft.com/office/spreadsheetml/2009/9/main" objectType="Spin" dx="15" fmlaLink="$J$17" max="2000" page="10" val="1000"/>
</file>

<file path=xl/ctrlProps/ctrlProp14.xml><?xml version="1.0" encoding="utf-8"?>
<formControlPr xmlns="http://schemas.microsoft.com/office/spreadsheetml/2009/9/main" objectType="Spin" dx="15" fmlaLink="$M$17" max="2000" page="10" val="1000"/>
</file>

<file path=xl/ctrlProps/ctrlProp15.xml><?xml version="1.0" encoding="utf-8"?>
<formControlPr xmlns="http://schemas.microsoft.com/office/spreadsheetml/2009/9/main" objectType="Spin" dx="15" fmlaLink="$J$15" max="2000" page="10" val="1000"/>
</file>

<file path=xl/ctrlProps/ctrlProp16.xml><?xml version="1.0" encoding="utf-8"?>
<formControlPr xmlns="http://schemas.microsoft.com/office/spreadsheetml/2009/9/main" objectType="Spin" dx="15" fmlaLink="$M$15" max="2000" page="10" val="1000"/>
</file>

<file path=xl/ctrlProps/ctrlProp17.xml><?xml version="1.0" encoding="utf-8"?>
<formControlPr xmlns="http://schemas.microsoft.com/office/spreadsheetml/2009/9/main" objectType="Spin" dx="15" fmlaLink="$J$19" max="2000" page="10" val="1000"/>
</file>

<file path=xl/ctrlProps/ctrlProp18.xml><?xml version="1.0" encoding="utf-8"?>
<formControlPr xmlns="http://schemas.microsoft.com/office/spreadsheetml/2009/9/main" objectType="Spin" dx="15" fmlaLink="$M$19" max="2000" page="10" val="1000"/>
</file>

<file path=xl/ctrlProps/ctrlProp19.xml><?xml version="1.0" encoding="utf-8"?>
<formControlPr xmlns="http://schemas.microsoft.com/office/spreadsheetml/2009/9/main" objectType="Spin" dx="15" fmlaLink="$J$23" max="2000" page="10" val="1000"/>
</file>

<file path=xl/ctrlProps/ctrlProp2.xml><?xml version="1.0" encoding="utf-8"?>
<formControlPr xmlns="http://schemas.microsoft.com/office/spreadsheetml/2009/9/main" objectType="Spin" dx="15" fmlaLink="#REF!" max="401" page="10" val="201"/>
</file>

<file path=xl/ctrlProps/ctrlProp20.xml><?xml version="1.0" encoding="utf-8"?>
<formControlPr xmlns="http://schemas.microsoft.com/office/spreadsheetml/2009/9/main" objectType="Spin" dx="15" fmlaLink="$M$23" max="2000" page="10" val="1000"/>
</file>

<file path=xl/ctrlProps/ctrlProp21.xml><?xml version="1.0" encoding="utf-8"?>
<formControlPr xmlns="http://schemas.microsoft.com/office/spreadsheetml/2009/9/main" objectType="Spin" dx="15" fmlaLink="$J$27" max="2000" page="10" val="1000"/>
</file>

<file path=xl/ctrlProps/ctrlProp22.xml><?xml version="1.0" encoding="utf-8"?>
<formControlPr xmlns="http://schemas.microsoft.com/office/spreadsheetml/2009/9/main" objectType="Spin" dx="15" fmlaLink="$M$27" max="2000" page="10" val="1000"/>
</file>

<file path=xl/ctrlProps/ctrlProp23.xml><?xml version="1.0" encoding="utf-8"?>
<formControlPr xmlns="http://schemas.microsoft.com/office/spreadsheetml/2009/9/main" objectType="Spin" dx="15" fmlaLink="$J$31" max="2000" page="10" val="1000"/>
</file>

<file path=xl/ctrlProps/ctrlProp24.xml><?xml version="1.0" encoding="utf-8"?>
<formControlPr xmlns="http://schemas.microsoft.com/office/spreadsheetml/2009/9/main" objectType="Spin" dx="15" fmlaLink="$M$31" max="2000" page="10" val="1000"/>
</file>

<file path=xl/ctrlProps/ctrlProp25.xml><?xml version="1.0" encoding="utf-8"?>
<formControlPr xmlns="http://schemas.microsoft.com/office/spreadsheetml/2009/9/main" objectType="Spin" dx="15" fmlaLink="$J$35" max="2000" page="10" val="1000"/>
</file>

<file path=xl/ctrlProps/ctrlProp26.xml><?xml version="1.0" encoding="utf-8"?>
<formControlPr xmlns="http://schemas.microsoft.com/office/spreadsheetml/2009/9/main" objectType="Spin" dx="15" fmlaLink="$M$35" max="2000" page="10" val="1000"/>
</file>

<file path=xl/ctrlProps/ctrlProp3.xml><?xml version="1.0" encoding="utf-8"?>
<formControlPr xmlns="http://schemas.microsoft.com/office/spreadsheetml/2009/9/main" objectType="Spin" dx="15" fmlaLink="#REF!" max="401" page="10" val="201"/>
</file>

<file path=xl/ctrlProps/ctrlProp4.xml><?xml version="1.0" encoding="utf-8"?>
<formControlPr xmlns="http://schemas.microsoft.com/office/spreadsheetml/2009/9/main" objectType="Spin" dx="15" fmlaLink="#REF!" max="401" page="10" val="201"/>
</file>

<file path=xl/ctrlProps/ctrlProp5.xml><?xml version="1.0" encoding="utf-8"?>
<formControlPr xmlns="http://schemas.microsoft.com/office/spreadsheetml/2009/9/main" objectType="Spin" dx="15" fmlaLink="#REF!" max="401" page="10" val="201"/>
</file>

<file path=xl/ctrlProps/ctrlProp6.xml><?xml version="1.0" encoding="utf-8"?>
<formControlPr xmlns="http://schemas.microsoft.com/office/spreadsheetml/2009/9/main" objectType="Spin" dx="15" fmlaLink="#REF!" max="401" page="10" val="201"/>
</file>

<file path=xl/ctrlProps/ctrlProp7.xml><?xml version="1.0" encoding="utf-8"?>
<formControlPr xmlns="http://schemas.microsoft.com/office/spreadsheetml/2009/9/main" objectType="Spin" dx="15" fmlaLink="#REF!" max="401" page="10" val="201"/>
</file>

<file path=xl/ctrlProps/ctrlProp8.xml><?xml version="1.0" encoding="utf-8"?>
<formControlPr xmlns="http://schemas.microsoft.com/office/spreadsheetml/2009/9/main" objectType="Spin" dx="15" fmlaLink="#REF!" max="401" page="10" val="201"/>
</file>

<file path=xl/ctrlProps/ctrlProp9.xml><?xml version="1.0" encoding="utf-8"?>
<formControlPr xmlns="http://schemas.microsoft.com/office/spreadsheetml/2009/9/main" objectType="Spin" dx="15" fmlaLink="#REF!" max="401" page="10" val="20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9525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20</xdr:row>
          <xdr:rowOff>9525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9525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3075" name="Spinner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28</xdr:row>
          <xdr:rowOff>9525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3076" name="Spinner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32</xdr:row>
          <xdr:rowOff>9525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3077" name="Spinner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38</xdr:row>
          <xdr:rowOff>9525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3078" name="Spinner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38100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3079" name="Spinner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20</xdr:row>
          <xdr:rowOff>38100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3080" name="Spinner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38100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3081" name="Spinner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28</xdr:row>
          <xdr:rowOff>38100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3082" name="Spinner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32</xdr:row>
          <xdr:rowOff>38100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3083" name="Spinner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38</xdr:row>
          <xdr:rowOff>38100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3084" name="Spinner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16</xdr:row>
          <xdr:rowOff>9525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16</xdr:row>
          <xdr:rowOff>9525</xdr:rowOff>
        </xdr:from>
        <xdr:to>
          <xdr:col>14</xdr:col>
          <xdr:colOff>0</xdr:colOff>
          <xdr:row>17</xdr:row>
          <xdr:rowOff>0</xdr:rowOff>
        </xdr:to>
        <xdr:sp macro="" textlink="">
          <xdr:nvSpPr>
            <xdr:cNvPr id="4103" name="Spinner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14</xdr:row>
          <xdr:rowOff>9525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4119" name="Spinner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9525</xdr:rowOff>
        </xdr:from>
        <xdr:to>
          <xdr:col>14</xdr:col>
          <xdr:colOff>0</xdr:colOff>
          <xdr:row>15</xdr:row>
          <xdr:rowOff>0</xdr:rowOff>
        </xdr:to>
        <xdr:sp macro="" textlink="">
          <xdr:nvSpPr>
            <xdr:cNvPr id="4120" name="Spinner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9525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4122" name="Spinner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9525</xdr:rowOff>
        </xdr:from>
        <xdr:to>
          <xdr:col>14</xdr:col>
          <xdr:colOff>0</xdr:colOff>
          <xdr:row>19</xdr:row>
          <xdr:rowOff>0</xdr:rowOff>
        </xdr:to>
        <xdr:sp macro="" textlink="">
          <xdr:nvSpPr>
            <xdr:cNvPr id="4123" name="Spinner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22</xdr:row>
          <xdr:rowOff>9525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4124" name="Spinner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9525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4125" name="Spinner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9525</xdr:rowOff>
        </xdr:from>
        <xdr:to>
          <xdr:col>11</xdr:col>
          <xdr:colOff>0</xdr:colOff>
          <xdr:row>27</xdr:row>
          <xdr:rowOff>0</xdr:rowOff>
        </xdr:to>
        <xdr:sp macro="" textlink="">
          <xdr:nvSpPr>
            <xdr:cNvPr id="4126" name="Spinner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26</xdr:row>
          <xdr:rowOff>0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4127" name="Spinner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30</xdr:row>
          <xdr:rowOff>9525</xdr:rowOff>
        </xdr:from>
        <xdr:to>
          <xdr:col>11</xdr:col>
          <xdr:colOff>0</xdr:colOff>
          <xdr:row>31</xdr:row>
          <xdr:rowOff>0</xdr:rowOff>
        </xdr:to>
        <xdr:sp macro="" textlink="">
          <xdr:nvSpPr>
            <xdr:cNvPr id="4128" name="Spinner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30</xdr:row>
          <xdr:rowOff>0</xdr:rowOff>
        </xdr:from>
        <xdr:to>
          <xdr:col>14</xdr:col>
          <xdr:colOff>0</xdr:colOff>
          <xdr:row>31</xdr:row>
          <xdr:rowOff>9525</xdr:rowOff>
        </xdr:to>
        <xdr:sp macro="" textlink="">
          <xdr:nvSpPr>
            <xdr:cNvPr id="4129" name="Spinner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34</xdr:row>
          <xdr:rowOff>9525</xdr:rowOff>
        </xdr:from>
        <xdr:to>
          <xdr:col>11</xdr:col>
          <xdr:colOff>0</xdr:colOff>
          <xdr:row>35</xdr:row>
          <xdr:rowOff>0</xdr:rowOff>
        </xdr:to>
        <xdr:sp macro="" textlink="">
          <xdr:nvSpPr>
            <xdr:cNvPr id="4130" name="Spinner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34</xdr:row>
          <xdr:rowOff>9525</xdr:rowOff>
        </xdr:from>
        <xdr:to>
          <xdr:col>14</xdr:col>
          <xdr:colOff>0</xdr:colOff>
          <xdr:row>35</xdr:row>
          <xdr:rowOff>0</xdr:rowOff>
        </xdr:to>
        <xdr:sp macro="" textlink="">
          <xdr:nvSpPr>
            <xdr:cNvPr id="4131" name="Spinner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511"/>
  <sheetViews>
    <sheetView showGridLines="0" tabSelected="1" zoomScale="80" zoomScaleNormal="80" zoomScaleSheetLayoutView="55" workbookViewId="0">
      <selection activeCell="B3" sqref="B3:I3"/>
    </sheetView>
  </sheetViews>
  <sheetFormatPr defaultRowHeight="12.75" x14ac:dyDescent="0.2"/>
  <cols>
    <col min="1" max="1" width="4.140625" customWidth="1"/>
    <col min="2" max="2" width="28.7109375" customWidth="1"/>
    <col min="3" max="3" width="20.85546875" customWidth="1"/>
    <col min="4" max="4" width="17.85546875" customWidth="1"/>
    <col min="5" max="8" width="22.85546875" customWidth="1"/>
    <col min="9" max="9" width="23.140625" customWidth="1"/>
    <col min="10" max="11" width="10.7109375" hidden="1" customWidth="1"/>
    <col min="12" max="14" width="10.7109375" customWidth="1"/>
    <col min="15" max="19" width="9.140625" customWidth="1"/>
    <col min="20" max="20" width="4.42578125" customWidth="1"/>
    <col min="21" max="21" width="25.5703125" customWidth="1"/>
  </cols>
  <sheetData>
    <row r="1" spans="1:36" ht="39.75" customHeight="1" x14ac:dyDescent="0.2">
      <c r="B1" s="271" t="s">
        <v>0</v>
      </c>
      <c r="C1" s="271"/>
      <c r="D1" s="271"/>
      <c r="E1" s="271"/>
      <c r="F1" s="271"/>
      <c r="G1" s="271"/>
      <c r="H1" s="271"/>
      <c r="I1" s="271"/>
    </row>
    <row r="3" spans="1:36" s="2" customFormat="1" ht="31.7" customHeight="1" x14ac:dyDescent="0.2">
      <c r="A3" s="104"/>
      <c r="B3" s="270" t="s">
        <v>1</v>
      </c>
      <c r="C3" s="270"/>
      <c r="D3" s="270"/>
      <c r="E3" s="270"/>
      <c r="F3" s="270"/>
      <c r="G3" s="270"/>
      <c r="H3" s="270"/>
      <c r="I3" s="270"/>
      <c r="J3" s="83"/>
      <c r="K3" s="83"/>
      <c r="L3"/>
      <c r="M3" s="83"/>
    </row>
    <row r="4" spans="1:36" ht="13.7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6.25" x14ac:dyDescent="0.4">
      <c r="A5" s="2"/>
      <c r="B5" s="268" t="s">
        <v>2</v>
      </c>
      <c r="C5" s="268"/>
      <c r="D5" s="268"/>
      <c r="E5" s="268"/>
      <c r="F5" s="268"/>
      <c r="G5" s="268"/>
      <c r="H5" s="268"/>
      <c r="I5" s="268"/>
      <c r="J5" s="105" t="s">
        <v>3</v>
      </c>
      <c r="K5" s="105" t="s">
        <v>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6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8.75" customHeight="1" x14ac:dyDescent="0.3">
      <c r="A7" s="2"/>
      <c r="B7" s="93" t="s">
        <v>5</v>
      </c>
      <c r="C7" s="50"/>
      <c r="D7" s="50"/>
      <c r="E7" s="50"/>
      <c r="F7" s="50"/>
      <c r="G7" s="50"/>
      <c r="H7" s="49" t="s">
        <v>6</v>
      </c>
      <c r="I7" s="50"/>
      <c r="J7" s="38"/>
      <c r="K7" s="3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8.75" hidden="1" customHeight="1" x14ac:dyDescent="0.3">
      <c r="A8" s="2"/>
      <c r="B8" s="57"/>
      <c r="C8" s="50"/>
      <c r="D8" s="50"/>
      <c r="E8" s="50"/>
      <c r="F8" s="50"/>
      <c r="G8" s="50"/>
      <c r="H8" s="49" t="s">
        <v>7</v>
      </c>
      <c r="I8" s="50"/>
      <c r="J8" s="38"/>
      <c r="K8" s="3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8" customHeight="1" x14ac:dyDescent="0.25">
      <c r="A9" s="2"/>
      <c r="B9" s="50" t="s">
        <v>8</v>
      </c>
      <c r="C9" s="50"/>
      <c r="D9" s="50"/>
      <c r="E9" s="50"/>
      <c r="F9" s="50"/>
      <c r="G9" s="50"/>
      <c r="H9" s="49" t="s">
        <v>9</v>
      </c>
      <c r="I9" s="50"/>
      <c r="J9" s="38"/>
      <c r="K9" s="3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8" customHeight="1" x14ac:dyDescent="0.25">
      <c r="A10" s="2"/>
      <c r="B10" s="50" t="s">
        <v>10</v>
      </c>
      <c r="C10" s="50"/>
      <c r="D10" s="50"/>
      <c r="E10" s="50"/>
      <c r="F10" s="50"/>
      <c r="G10" s="50"/>
      <c r="H10" s="49" t="s">
        <v>11</v>
      </c>
      <c r="I10" s="50"/>
      <c r="J10" s="38"/>
      <c r="K10" s="3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3.2" customHeight="1" x14ac:dyDescent="0.25">
      <c r="A11" s="2"/>
      <c r="B11" s="4"/>
      <c r="C11" s="4"/>
      <c r="D11" s="4"/>
      <c r="E11" s="4"/>
      <c r="F11" s="4"/>
      <c r="G11" s="6"/>
      <c r="H11" s="6"/>
      <c r="I11" s="4"/>
      <c r="J11" s="38"/>
      <c r="K11" s="3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4.7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38"/>
      <c r="K12" s="3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0.75" customHeight="1" x14ac:dyDescent="0.2">
      <c r="A13" s="2"/>
      <c r="B13" s="8"/>
      <c r="C13" s="8"/>
      <c r="D13" s="8"/>
      <c r="E13" s="8"/>
      <c r="F13" s="8"/>
      <c r="G13" s="8"/>
      <c r="H13" s="8"/>
      <c r="I13" s="8"/>
      <c r="J13" s="38"/>
      <c r="K13" s="3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2.25" customHeight="1" x14ac:dyDescent="0.2">
      <c r="A14" s="2"/>
      <c r="B14" s="8"/>
      <c r="C14" s="8"/>
      <c r="D14" s="8"/>
      <c r="E14" s="8"/>
      <c r="F14" s="8"/>
      <c r="G14" s="8"/>
      <c r="H14" s="8"/>
      <c r="I14" s="8"/>
      <c r="J14" s="38"/>
      <c r="K14" s="3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s="1" customFormat="1" ht="39.75" customHeight="1" x14ac:dyDescent="0.2">
      <c r="A15" s="3"/>
      <c r="B15" s="20" t="s">
        <v>12</v>
      </c>
      <c r="C15" s="21" t="s">
        <v>13</v>
      </c>
      <c r="D15" s="20" t="s">
        <v>14</v>
      </c>
      <c r="E15" s="20" t="s">
        <v>15</v>
      </c>
      <c r="F15" s="20" t="s">
        <v>16</v>
      </c>
      <c r="G15" s="22" t="s">
        <v>17</v>
      </c>
      <c r="H15" s="20" t="str">
        <f>"30th June 2024 fee (co-payment) (Including GST at "&amp;TEXT(PreviousGSTRate,"#0.0%")&amp;")"</f>
        <v>30th June 2024 fee (co-payment) (Including GST at 15.0%)</v>
      </c>
      <c r="I15" s="20" t="s">
        <v>18</v>
      </c>
      <c r="J15" s="20" t="s">
        <v>19</v>
      </c>
      <c r="K15" s="20" t="s">
        <v>20</v>
      </c>
      <c r="L15"/>
      <c r="M15" s="97"/>
      <c r="N15" s="97"/>
      <c r="O15" s="98"/>
      <c r="P15" s="97"/>
      <c r="Q15" s="97"/>
      <c r="R15" s="97"/>
      <c r="S15" s="97"/>
      <c r="T15" s="98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s="1" customFormat="1" ht="15" customHeight="1" x14ac:dyDescent="0.2">
      <c r="A16" s="3"/>
      <c r="B16" s="232"/>
      <c r="C16" s="251"/>
      <c r="D16" s="39"/>
      <c r="E16" s="39"/>
      <c r="F16" s="11"/>
      <c r="G16" s="11"/>
      <c r="H16" s="13"/>
      <c r="I16" s="42"/>
      <c r="J16" s="103"/>
      <c r="K16" s="103"/>
      <c r="L16"/>
      <c r="M16" s="97"/>
      <c r="N16" s="97"/>
      <c r="O16" s="98"/>
      <c r="P16" s="97"/>
      <c r="Q16" s="97"/>
      <c r="R16" s="97"/>
      <c r="S16" s="97"/>
      <c r="T16" s="98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s="1" customFormat="1" ht="15" customHeight="1" x14ac:dyDescent="0.2">
      <c r="A17" s="3"/>
      <c r="B17" s="237" t="s">
        <v>21</v>
      </c>
      <c r="C17" s="160">
        <v>0</v>
      </c>
      <c r="D17" s="238">
        <f>Parameters!E21</f>
        <v>4.8260383171719514</v>
      </c>
      <c r="E17" s="239">
        <f>Parameters!E30</f>
        <v>449.8884456279676</v>
      </c>
      <c r="F17" s="66">
        <f>G17+I17</f>
        <v>93.221067894794771</v>
      </c>
      <c r="G17" s="60">
        <f>E17/D17</f>
        <v>93.221067894794771</v>
      </c>
      <c r="H17" s="162">
        <v>0</v>
      </c>
      <c r="I17" s="96">
        <f>H17/(1+PreviousGSTRate)</f>
        <v>0</v>
      </c>
      <c r="J17" s="44">
        <f>C17*D17*I17</f>
        <v>0</v>
      </c>
      <c r="K17" s="44">
        <f>C17*(G17+I17)*D17</f>
        <v>0</v>
      </c>
      <c r="L17"/>
      <c r="M17" s="97"/>
      <c r="N17" s="97"/>
      <c r="O17" s="98"/>
      <c r="P17" s="97"/>
      <c r="Q17" s="97"/>
      <c r="R17" s="97"/>
      <c r="S17" s="97"/>
      <c r="T17" s="98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s="1" customFormat="1" ht="15" customHeight="1" x14ac:dyDescent="0.2">
      <c r="A18" s="3"/>
      <c r="B18" s="232"/>
      <c r="C18" s="251"/>
      <c r="D18" s="240"/>
      <c r="E18" s="241"/>
      <c r="F18" s="11"/>
      <c r="G18" s="11"/>
      <c r="H18" s="13"/>
      <c r="I18" s="42"/>
      <c r="J18" s="39"/>
      <c r="K18" s="39"/>
      <c r="L18"/>
      <c r="M18" s="99"/>
      <c r="N18" s="99"/>
      <c r="O18" s="100"/>
      <c r="P18" s="99"/>
      <c r="Q18" s="99"/>
      <c r="R18" s="101"/>
      <c r="S18" s="101"/>
      <c r="T18" s="10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15" customHeight="1" x14ac:dyDescent="0.2">
      <c r="A19" s="2"/>
      <c r="B19" s="237" t="s">
        <v>22</v>
      </c>
      <c r="C19" s="160">
        <v>0</v>
      </c>
      <c r="D19" s="238">
        <f>Parameters!E22</f>
        <v>2.3828250180465824</v>
      </c>
      <c r="E19" s="239">
        <f>Parameters!E31</f>
        <v>125.62550765507245</v>
      </c>
      <c r="F19" s="66">
        <f>G19+I19</f>
        <v>52.721247554324854</v>
      </c>
      <c r="G19" s="60">
        <f>E19/D19</f>
        <v>52.721247554324854</v>
      </c>
      <c r="H19" s="162">
        <v>0</v>
      </c>
      <c r="I19" s="96">
        <f>H19/(1+PreviousGSTRate)</f>
        <v>0</v>
      </c>
      <c r="J19" s="44">
        <f>C19*D19*I19</f>
        <v>0</v>
      </c>
      <c r="K19" s="44">
        <f>C19*(G19+I19)*D19</f>
        <v>0</v>
      </c>
      <c r="M19" s="99"/>
      <c r="N19" s="99"/>
      <c r="O19" s="100"/>
      <c r="P19" s="99"/>
      <c r="Q19" s="99"/>
      <c r="R19" s="101"/>
      <c r="S19" s="101"/>
      <c r="T19" s="10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5" customHeight="1" x14ac:dyDescent="0.2">
      <c r="A20" s="2"/>
      <c r="B20" s="232"/>
      <c r="C20" s="251"/>
      <c r="D20" s="242"/>
      <c r="E20" s="243"/>
      <c r="F20" s="252"/>
      <c r="G20" s="11"/>
      <c r="H20" s="42"/>
      <c r="I20" s="253"/>
      <c r="J20" s="40"/>
      <c r="K20" s="41"/>
      <c r="M20" s="99"/>
      <c r="N20" s="99"/>
      <c r="O20" s="100"/>
      <c r="P20" s="99"/>
      <c r="Q20" s="99"/>
      <c r="R20" s="101"/>
      <c r="S20" s="101"/>
      <c r="T20" s="10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5" customHeight="1" x14ac:dyDescent="0.2">
      <c r="A21" s="2"/>
      <c r="B21" s="236" t="s">
        <v>23</v>
      </c>
      <c r="C21" s="161">
        <v>0</v>
      </c>
      <c r="D21" s="238">
        <f>Parameters!E23</f>
        <v>2.4395026526618975</v>
      </c>
      <c r="E21" s="239">
        <f>Parameters!E32</f>
        <v>118.12191740758844</v>
      </c>
      <c r="F21" s="66">
        <f>G21+I21</f>
        <v>48.420491479563694</v>
      </c>
      <c r="G21" s="60">
        <f>E21/D21</f>
        <v>48.420491479563694</v>
      </c>
      <c r="H21" s="162">
        <v>0</v>
      </c>
      <c r="I21" s="96">
        <f>H21/(1+PreviousGSTRate)</f>
        <v>0</v>
      </c>
      <c r="J21" s="44">
        <f>C21*D21*I21</f>
        <v>0</v>
      </c>
      <c r="K21" s="44">
        <f>C21*(G21+I21)*D21</f>
        <v>0</v>
      </c>
      <c r="M21" s="99"/>
      <c r="N21" s="99"/>
      <c r="O21" s="100"/>
      <c r="P21" s="99"/>
      <c r="Q21" s="99"/>
      <c r="R21" s="101"/>
      <c r="S21" s="101"/>
      <c r="T21" s="10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5" customHeight="1" x14ac:dyDescent="0.2">
      <c r="A22" s="2"/>
      <c r="B22" s="232"/>
      <c r="C22" s="251"/>
      <c r="D22" s="242"/>
      <c r="E22" s="243"/>
      <c r="F22" s="252"/>
      <c r="G22" s="11"/>
      <c r="H22" s="42"/>
      <c r="I22" s="253"/>
      <c r="J22" s="40"/>
      <c r="K22" s="41"/>
      <c r="M22" s="99"/>
      <c r="N22" s="99"/>
      <c r="O22" s="100"/>
      <c r="P22" s="99"/>
      <c r="Q22" s="99"/>
      <c r="R22" s="101"/>
      <c r="S22" s="101"/>
      <c r="T22" s="10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" customHeight="1" x14ac:dyDescent="0.2">
      <c r="A23" s="2"/>
      <c r="B23" s="236" t="s">
        <v>24</v>
      </c>
      <c r="C23" s="161">
        <v>0</v>
      </c>
      <c r="D23" s="238">
        <f>Parameters!F23</f>
        <v>1.97172456426655</v>
      </c>
      <c r="E23" s="239">
        <f>Parameters!E32</f>
        <v>118.12191740758844</v>
      </c>
      <c r="F23" s="66">
        <f>G23+I23</f>
        <v>59.907919974374266</v>
      </c>
      <c r="G23" s="60">
        <f>E23/D23</f>
        <v>59.907919974374266</v>
      </c>
      <c r="H23" s="162">
        <v>0</v>
      </c>
      <c r="I23" s="96">
        <f>H23/(1+PreviousGSTRate)</f>
        <v>0</v>
      </c>
      <c r="J23" s="44">
        <f>C23*D23*I23</f>
        <v>0</v>
      </c>
      <c r="K23" s="44">
        <f>C23*(G23+I23)*D23</f>
        <v>0</v>
      </c>
      <c r="M23" s="99"/>
      <c r="N23" s="99"/>
      <c r="O23" s="100"/>
      <c r="P23" s="99"/>
      <c r="Q23" s="99"/>
      <c r="R23" s="101"/>
      <c r="S23" s="101"/>
      <c r="T23" s="10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" customHeight="1" x14ac:dyDescent="0.2">
      <c r="A24" s="2"/>
      <c r="B24" s="232"/>
      <c r="C24" s="251"/>
      <c r="D24" s="242"/>
      <c r="E24" s="243"/>
      <c r="F24" s="252"/>
      <c r="G24" s="11"/>
      <c r="H24" s="42"/>
      <c r="I24" s="253"/>
      <c r="J24" s="40"/>
      <c r="K24" s="41"/>
      <c r="M24" s="99"/>
      <c r="N24" s="99"/>
      <c r="O24" s="100"/>
      <c r="P24" s="99"/>
      <c r="Q24" s="99"/>
      <c r="R24" s="101"/>
      <c r="S24" s="101"/>
      <c r="T24" s="10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5" customHeight="1" x14ac:dyDescent="0.2">
      <c r="A25" s="2"/>
      <c r="B25" s="236" t="s">
        <v>25</v>
      </c>
      <c r="C25" s="160">
        <v>0</v>
      </c>
      <c r="D25" s="238">
        <f>Parameters!E24</f>
        <v>3.0803720898157572</v>
      </c>
      <c r="E25" s="239">
        <f>Parameters!E33</f>
        <v>116.96525804387629</v>
      </c>
      <c r="F25" s="66">
        <f>G25+I25</f>
        <v>37.971145898439886</v>
      </c>
      <c r="G25" s="60">
        <f>E25/D25</f>
        <v>37.971145898439886</v>
      </c>
      <c r="H25" s="162">
        <v>0</v>
      </c>
      <c r="I25" s="96">
        <f>H25/(1+PreviousGSTRate)</f>
        <v>0</v>
      </c>
      <c r="J25" s="44">
        <f>C25*D25*I25</f>
        <v>0</v>
      </c>
      <c r="K25" s="44">
        <f>C25*(G25+I25)*D25</f>
        <v>0</v>
      </c>
      <c r="M25" s="99"/>
      <c r="N25" s="99"/>
      <c r="O25" s="100"/>
      <c r="P25" s="99"/>
      <c r="Q25" s="99"/>
      <c r="R25" s="101"/>
      <c r="S25" s="101"/>
      <c r="T25" s="10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" customHeight="1" x14ac:dyDescent="0.2">
      <c r="A26" s="2"/>
      <c r="B26" s="232"/>
      <c r="C26" s="251"/>
      <c r="D26" s="242"/>
      <c r="E26" s="243"/>
      <c r="F26" s="252"/>
      <c r="G26" s="11"/>
      <c r="H26" s="42"/>
      <c r="I26" s="253"/>
      <c r="J26" s="40"/>
      <c r="K26" s="41"/>
      <c r="M26" s="100"/>
      <c r="N26" s="100"/>
      <c r="O26" s="100"/>
      <c r="P26" s="100"/>
      <c r="Q26" s="100"/>
      <c r="R26" s="102"/>
      <c r="S26" s="102"/>
      <c r="T26" s="10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" customHeight="1" x14ac:dyDescent="0.2">
      <c r="A27" s="2"/>
      <c r="B27" s="236" t="s">
        <v>26</v>
      </c>
      <c r="C27" s="160">
        <v>0</v>
      </c>
      <c r="D27" s="238">
        <f>Parameters!F24</f>
        <v>1.9717245642665497</v>
      </c>
      <c r="E27" s="239">
        <f>Parameters!E33</f>
        <v>116.96525804387629</v>
      </c>
      <c r="F27" s="66">
        <f>G27+I27</f>
        <v>59.321296779292048</v>
      </c>
      <c r="G27" s="60">
        <f>E27/D27</f>
        <v>59.321296779292048</v>
      </c>
      <c r="H27" s="162">
        <v>0</v>
      </c>
      <c r="I27" s="96">
        <f>H27/(1+PreviousGSTRate)</f>
        <v>0</v>
      </c>
      <c r="J27" s="44">
        <f>C27*D27*I27</f>
        <v>0</v>
      </c>
      <c r="K27" s="44">
        <f>C27*(G27+I27)*D27</f>
        <v>0</v>
      </c>
      <c r="M27" s="100"/>
      <c r="N27" s="100"/>
      <c r="O27" s="100"/>
      <c r="P27" s="100"/>
      <c r="Q27" s="100"/>
      <c r="R27" s="102"/>
      <c r="S27" s="102"/>
      <c r="T27" s="10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5" customHeight="1" x14ac:dyDescent="0.2">
      <c r="A28" s="2"/>
      <c r="B28" s="232"/>
      <c r="C28" s="251"/>
      <c r="D28" s="242"/>
      <c r="E28" s="243"/>
      <c r="F28" s="252"/>
      <c r="G28" s="11"/>
      <c r="H28" s="42"/>
      <c r="I28" s="253"/>
      <c r="J28" s="40"/>
      <c r="K28" s="41"/>
      <c r="M28" s="100"/>
      <c r="N28" s="100"/>
      <c r="O28" s="100"/>
      <c r="P28" s="100"/>
      <c r="Q28" s="100"/>
      <c r="R28" s="102"/>
      <c r="S28" s="102"/>
      <c r="T28" s="10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5" customHeight="1" x14ac:dyDescent="0.2">
      <c r="A29" s="2"/>
      <c r="B29" s="236" t="s">
        <v>27</v>
      </c>
      <c r="C29" s="160">
        <v>0</v>
      </c>
      <c r="D29" s="238">
        <f>Parameters!E25</f>
        <v>3.2787820953842139</v>
      </c>
      <c r="E29" s="239">
        <f>Parameters!E34</f>
        <v>109.58653944709052</v>
      </c>
      <c r="F29" s="66">
        <f>G29+I29</f>
        <v>33.422940670977695</v>
      </c>
      <c r="G29" s="60">
        <f>E29/D29</f>
        <v>33.422940670977695</v>
      </c>
      <c r="H29" s="162">
        <v>0</v>
      </c>
      <c r="I29" s="96">
        <f>H29/(1+PreviousGSTRate)</f>
        <v>0</v>
      </c>
      <c r="J29" s="44">
        <f>C29*D29*I29</f>
        <v>0</v>
      </c>
      <c r="K29" s="44">
        <f>C29*(G29+I29)*D29</f>
        <v>0</v>
      </c>
      <c r="M29" s="2"/>
      <c r="N29" s="3"/>
      <c r="O29" s="3"/>
      <c r="P29" s="3"/>
      <c r="Q29" s="3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5" customHeight="1" x14ac:dyDescent="0.2">
      <c r="A30" s="2"/>
      <c r="B30" s="232"/>
      <c r="C30" s="251"/>
      <c r="D30" s="244"/>
      <c r="E30" s="245"/>
      <c r="F30" s="252"/>
      <c r="G30" s="11"/>
      <c r="H30" s="42"/>
      <c r="I30" s="253"/>
      <c r="J30" s="43"/>
      <c r="K30" s="43"/>
      <c r="M30" s="2"/>
      <c r="N30" s="3"/>
      <c r="O30" s="3"/>
      <c r="P30" s="3"/>
      <c r="Q30" s="3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5" customHeight="1" x14ac:dyDescent="0.2">
      <c r="A31" s="2"/>
      <c r="B31" s="236" t="s">
        <v>28</v>
      </c>
      <c r="C31" s="160">
        <v>0</v>
      </c>
      <c r="D31" s="238">
        <f>Parameters!F25</f>
        <v>2.9608939969665684</v>
      </c>
      <c r="E31" s="239">
        <f>Parameters!E34</f>
        <v>109.58653944709052</v>
      </c>
      <c r="F31" s="66">
        <f>G31+I31</f>
        <v>37.011301167607407</v>
      </c>
      <c r="G31" s="60">
        <f>E31/D31</f>
        <v>37.011301167607407</v>
      </c>
      <c r="H31" s="162">
        <v>0</v>
      </c>
      <c r="I31" s="96">
        <f>H31/(1+PreviousGSTRate)</f>
        <v>0</v>
      </c>
      <c r="J31" s="44">
        <f>C31*D31*I31</f>
        <v>0</v>
      </c>
      <c r="K31" s="44">
        <f>C31*(G31+I31)*D31</f>
        <v>0</v>
      </c>
      <c r="M31" s="2"/>
      <c r="N31" s="3"/>
      <c r="O31" s="3"/>
      <c r="P31" s="3"/>
      <c r="Q31" s="3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5" customHeight="1" x14ac:dyDescent="0.2">
      <c r="A32" s="2"/>
      <c r="B32" s="232"/>
      <c r="C32" s="251"/>
      <c r="D32" s="244"/>
      <c r="E32" s="245"/>
      <c r="F32" s="252"/>
      <c r="G32" s="11"/>
      <c r="H32" s="42"/>
      <c r="I32" s="253"/>
      <c r="J32" s="43"/>
      <c r="K32" s="43"/>
      <c r="M32" s="2"/>
      <c r="N32" s="3"/>
      <c r="O32" s="3"/>
      <c r="P32" s="3"/>
      <c r="Q32" s="3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5" customHeight="1" x14ac:dyDescent="0.2">
      <c r="A33" s="2"/>
      <c r="B33" s="236" t="s">
        <v>29</v>
      </c>
      <c r="C33" s="160">
        <v>0</v>
      </c>
      <c r="D33" s="238">
        <f>Parameters!E26</f>
        <v>4.053726384726585</v>
      </c>
      <c r="E33" s="239">
        <f>Parameters!E35</f>
        <v>158.77505771634986</v>
      </c>
      <c r="F33" s="66">
        <f>G33+I33</f>
        <v>39.167679968380227</v>
      </c>
      <c r="G33" s="60">
        <f>E33/D33</f>
        <v>39.167679968380227</v>
      </c>
      <c r="H33" s="162">
        <v>0</v>
      </c>
      <c r="I33" s="96">
        <f>H33/(1+PreviousGSTRate)</f>
        <v>0</v>
      </c>
      <c r="J33" s="44">
        <f>C33*D33*I33</f>
        <v>0</v>
      </c>
      <c r="K33" s="44">
        <f>C33*(G33+I33)*D33</f>
        <v>0</v>
      </c>
      <c r="M33" s="2"/>
      <c r="N33" s="3"/>
      <c r="O33" s="3"/>
      <c r="P33" s="3"/>
      <c r="Q33" s="3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5" customHeight="1" x14ac:dyDescent="0.2">
      <c r="A34" s="2"/>
      <c r="B34" s="232"/>
      <c r="C34" s="251"/>
      <c r="D34" s="242"/>
      <c r="E34" s="243"/>
      <c r="F34" s="252"/>
      <c r="G34" s="11"/>
      <c r="H34" s="42"/>
      <c r="I34" s="253"/>
      <c r="J34" s="40"/>
      <c r="K34" s="41"/>
      <c r="M34" s="2"/>
      <c r="N34" s="3"/>
      <c r="O34" s="3"/>
      <c r="P34" s="3"/>
      <c r="Q34" s="3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5" customHeight="1" x14ac:dyDescent="0.2">
      <c r="A35" s="2"/>
      <c r="B35" s="236" t="s">
        <v>30</v>
      </c>
      <c r="C35" s="160">
        <v>0</v>
      </c>
      <c r="D35" s="238">
        <f>Parameters!F26</f>
        <v>4.6315624200217229</v>
      </c>
      <c r="E35" s="239">
        <f>Parameters!E35</f>
        <v>158.77505771634986</v>
      </c>
      <c r="F35" s="66">
        <f>G35+I35</f>
        <v>34.281100699406139</v>
      </c>
      <c r="G35" s="60">
        <f>E35/D35</f>
        <v>34.281100699406139</v>
      </c>
      <c r="H35" s="162">
        <v>0</v>
      </c>
      <c r="I35" s="96">
        <f>H35/(1+PreviousGSTRate)</f>
        <v>0</v>
      </c>
      <c r="J35" s="44">
        <f>C35*D35*I35</f>
        <v>0</v>
      </c>
      <c r="K35" s="44">
        <f>C35*(G35+I35)*D35</f>
        <v>0</v>
      </c>
      <c r="M35" s="2"/>
      <c r="N35" s="3"/>
      <c r="O35" s="3"/>
      <c r="P35" s="3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5" customHeight="1" x14ac:dyDescent="0.2">
      <c r="A36" s="2"/>
      <c r="B36" s="232"/>
      <c r="C36" s="251"/>
      <c r="D36" s="242"/>
      <c r="E36" s="243"/>
      <c r="F36" s="252"/>
      <c r="G36" s="11"/>
      <c r="H36" s="42"/>
      <c r="I36" s="253"/>
      <c r="J36" s="40"/>
      <c r="K36" s="41"/>
      <c r="M36" s="2"/>
      <c r="N36" s="3"/>
      <c r="O36" s="3"/>
      <c r="P36" s="3"/>
      <c r="Q36" s="3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5" customHeight="1" x14ac:dyDescent="0.2">
      <c r="A37" s="2"/>
      <c r="B37" s="236" t="s">
        <v>31</v>
      </c>
      <c r="C37" s="160">
        <v>0</v>
      </c>
      <c r="D37" s="238">
        <f>Parameters!E27</f>
        <v>5.8190335568195701</v>
      </c>
      <c r="E37" s="239">
        <f>Parameters!E36</f>
        <v>292.11005390443046</v>
      </c>
      <c r="F37" s="66">
        <f>G37+I37</f>
        <v>50.19906674401188</v>
      </c>
      <c r="G37" s="60">
        <f>E37/D37</f>
        <v>50.19906674401188</v>
      </c>
      <c r="H37" s="162">
        <v>0</v>
      </c>
      <c r="I37" s="96">
        <f>H37/(1+PreviousGSTRate)</f>
        <v>0</v>
      </c>
      <c r="J37" s="44">
        <f>C37*D37*I37</f>
        <v>0</v>
      </c>
      <c r="K37" s="44">
        <f>C37*(G37+I37)*D37</f>
        <v>0</v>
      </c>
      <c r="M37" s="2"/>
      <c r="N37" s="3"/>
      <c r="O37" s="3"/>
      <c r="P37" s="3"/>
      <c r="Q37" s="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15" customHeight="1" x14ac:dyDescent="0.2">
      <c r="A38" s="2"/>
      <c r="B38" s="232"/>
      <c r="C38" s="251"/>
      <c r="D38" s="242"/>
      <c r="E38" s="243"/>
      <c r="F38" s="252"/>
      <c r="G38" s="11"/>
      <c r="H38" s="42"/>
      <c r="I38" s="253"/>
      <c r="J38" s="40"/>
      <c r="K38" s="41"/>
      <c r="M38" s="2"/>
      <c r="N38" s="3"/>
      <c r="O38" s="3"/>
      <c r="P38" s="3"/>
      <c r="Q38" s="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" customHeight="1" x14ac:dyDescent="0.2">
      <c r="A39" s="2"/>
      <c r="B39" s="236" t="s">
        <v>32</v>
      </c>
      <c r="C39" s="160">
        <v>0</v>
      </c>
      <c r="D39" s="238">
        <f>Parameters!F27</f>
        <v>6.5147183462456448</v>
      </c>
      <c r="E39" s="239">
        <f>Parameters!E36</f>
        <v>292.11005390443046</v>
      </c>
      <c r="F39" s="66">
        <f>G39+I39</f>
        <v>44.838477794327062</v>
      </c>
      <c r="G39" s="60">
        <f>E39/D39</f>
        <v>44.838477794327062</v>
      </c>
      <c r="H39" s="162">
        <v>0</v>
      </c>
      <c r="I39" s="96">
        <f>H39/(1+PreviousGSTRate)</f>
        <v>0</v>
      </c>
      <c r="J39" s="44">
        <f>C39*D39*I39</f>
        <v>0</v>
      </c>
      <c r="K39" s="44">
        <f>C39*(G39+I39)*D39</f>
        <v>0</v>
      </c>
      <c r="M39" s="2"/>
      <c r="N39" s="3"/>
      <c r="O39" s="3"/>
      <c r="P39" s="3"/>
      <c r="Q39" s="3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106" customFormat="1" ht="15" customHeight="1" x14ac:dyDescent="0.2">
      <c r="A40" s="107"/>
      <c r="B40" s="140"/>
      <c r="C40" s="135"/>
      <c r="D40" s="135"/>
      <c r="E40" s="135"/>
      <c r="F40" s="135"/>
      <c r="G40" s="135"/>
      <c r="H40" s="135"/>
      <c r="I40" s="135"/>
      <c r="J40" s="141"/>
      <c r="K40" s="141"/>
      <c r="L40"/>
      <c r="M40" s="142"/>
      <c r="N40" s="142"/>
      <c r="O40" s="142"/>
      <c r="P40" s="142"/>
      <c r="Q40" s="142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s="120" customFormat="1" ht="20.100000000000001" customHeight="1" x14ac:dyDescent="0.2">
      <c r="A41" s="115"/>
      <c r="B41" s="116"/>
      <c r="C41" s="116"/>
      <c r="D41" s="116"/>
      <c r="E41" s="117" t="s">
        <v>7</v>
      </c>
      <c r="F41" s="269" t="s">
        <v>33</v>
      </c>
      <c r="G41" s="269"/>
      <c r="H41" s="114"/>
      <c r="I41" s="155" t="str">
        <f>IF(K41=0,"n/a",(K41-J41)/K41)</f>
        <v>n/a</v>
      </c>
      <c r="J41" s="118">
        <f>SUM(J17:J39)</f>
        <v>0</v>
      </c>
      <c r="K41" s="118">
        <f>SUM(K17:K39)</f>
        <v>0</v>
      </c>
      <c r="L41"/>
      <c r="M41" s="119"/>
      <c r="N41" s="119"/>
      <c r="O41" s="119"/>
      <c r="P41" s="119"/>
      <c r="Q41" s="119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</row>
    <row r="42" spans="1:36" s="120" customFormat="1" ht="20.100000000000001" customHeight="1" x14ac:dyDescent="0.2">
      <c r="A42" s="115"/>
      <c r="B42" s="116"/>
      <c r="C42" s="116"/>
      <c r="D42" s="116"/>
      <c r="E42" s="117" t="s">
        <v>34</v>
      </c>
      <c r="F42" s="151" t="s">
        <v>35</v>
      </c>
      <c r="G42" s="151"/>
      <c r="H42" s="114"/>
      <c r="I42" s="155" t="str">
        <f>IF(K41=0,"n/a",J41/K41)</f>
        <v>n/a</v>
      </c>
      <c r="J42" s="121"/>
      <c r="K42" s="121"/>
      <c r="L42"/>
      <c r="M42" s="119"/>
      <c r="N42" s="119"/>
      <c r="O42" s="119"/>
      <c r="P42" s="119"/>
      <c r="Q42" s="119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</row>
    <row r="43" spans="1:36" s="106" customFormat="1" ht="9" customHeight="1" x14ac:dyDescent="0.2">
      <c r="A43" s="107"/>
      <c r="B43" s="135"/>
      <c r="C43" s="135"/>
      <c r="D43" s="135"/>
      <c r="E43" s="143" t="s">
        <v>36</v>
      </c>
      <c r="F43" s="135"/>
      <c r="G43" s="135"/>
      <c r="H43" s="135"/>
      <c r="I43" s="135"/>
      <c r="J43" s="141"/>
      <c r="K43" s="141"/>
      <c r="L43"/>
      <c r="M43" s="142"/>
      <c r="N43" s="142"/>
      <c r="O43" s="142"/>
      <c r="P43" s="142"/>
      <c r="Q43" s="142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7.100000000000001" customHeight="1" x14ac:dyDescent="0.25">
      <c r="A45" s="2"/>
      <c r="B45" s="152" t="s">
        <v>37</v>
      </c>
      <c r="C45" s="153"/>
      <c r="D45" s="153"/>
      <c r="E45" s="153"/>
      <c r="F45" s="107"/>
      <c r="G45" s="2"/>
      <c r="H45" s="2"/>
      <c r="I45" s="2"/>
      <c r="J45" s="2"/>
      <c r="K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7.100000000000001" customHeight="1" x14ac:dyDescent="0.2">
      <c r="B46" s="154" t="s">
        <v>38</v>
      </c>
      <c r="C46" s="154"/>
      <c r="D46" s="154"/>
      <c r="E46" s="154"/>
      <c r="F46" s="106"/>
    </row>
    <row r="47" spans="1:36" ht="17.100000000000001" customHeight="1" x14ac:dyDescent="0.2">
      <c r="A47" s="2"/>
      <c r="B47" s="154" t="s">
        <v>39</v>
      </c>
      <c r="C47" s="154"/>
      <c r="D47" s="154"/>
      <c r="E47" s="154"/>
      <c r="F47" s="107"/>
      <c r="G47" s="2"/>
      <c r="H47" s="2"/>
      <c r="I47" s="2"/>
      <c r="J47" s="2"/>
      <c r="K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7.100000000000001" customHeight="1" x14ac:dyDescent="0.2">
      <c r="A48" s="2"/>
      <c r="B48" s="153" t="s">
        <v>40</v>
      </c>
      <c r="C48" s="153"/>
      <c r="D48" s="153"/>
      <c r="E48" s="153"/>
      <c r="F48" s="107"/>
      <c r="G48" s="2"/>
      <c r="H48" s="2"/>
      <c r="I48" s="2"/>
      <c r="J48" s="2"/>
      <c r="K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7.100000000000001" customHeight="1" x14ac:dyDescent="0.2">
      <c r="A49" s="2"/>
      <c r="B49" s="153" t="s">
        <v>41</v>
      </c>
      <c r="C49" s="153"/>
      <c r="D49" s="153"/>
      <c r="E49" s="153"/>
      <c r="F49" s="107"/>
      <c r="G49" s="2"/>
      <c r="H49" s="2"/>
      <c r="I49" s="2"/>
      <c r="J49" s="2"/>
      <c r="K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2">
      <c r="A53" s="61"/>
      <c r="B53" s="2"/>
      <c r="C53" s="2"/>
      <c r="D53" s="2"/>
      <c r="E53" s="2"/>
      <c r="F53" s="2"/>
      <c r="G53" s="2"/>
      <c r="H53" s="2"/>
      <c r="I53" s="2"/>
      <c r="J53" s="2"/>
      <c r="K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2">
      <c r="A54" s="61"/>
      <c r="C54" s="2"/>
      <c r="D54" s="2"/>
      <c r="E54" s="2"/>
      <c r="F54" s="2"/>
      <c r="G54" s="2"/>
      <c r="H54" s="2"/>
      <c r="I54" s="2"/>
      <c r="J54" s="2"/>
      <c r="K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2">
      <c r="A55" s="61"/>
      <c r="C55" s="2"/>
      <c r="D55" s="2"/>
      <c r="E55" s="2"/>
      <c r="F55" s="2"/>
      <c r="G55" s="2"/>
      <c r="H55" s="2"/>
      <c r="I55" s="2"/>
      <c r="J55" s="2"/>
      <c r="K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x14ac:dyDescent="0.2">
      <c r="A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x14ac:dyDescent="0.2">
      <c r="A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x14ac:dyDescent="0.2">
      <c r="A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x14ac:dyDescent="0.2">
      <c r="A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x14ac:dyDescent="0.2">
      <c r="A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x14ac:dyDescent="0.2">
      <c r="A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x14ac:dyDescent="0.2">
      <c r="A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x14ac:dyDescent="0.2">
      <c r="A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x14ac:dyDescent="0.2">
      <c r="A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x14ac:dyDescent="0.2">
      <c r="A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x14ac:dyDescent="0.2">
      <c r="A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x14ac:dyDescent="0.2">
      <c r="A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x14ac:dyDescent="0.2">
      <c r="A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x14ac:dyDescent="0.2">
      <c r="A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x14ac:dyDescent="0.2">
      <c r="A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x14ac:dyDescent="0.2">
      <c r="A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x14ac:dyDescent="0.2">
      <c r="A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x14ac:dyDescent="0.2">
      <c r="A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x14ac:dyDescent="0.2">
      <c r="A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x14ac:dyDescent="0.2">
      <c r="A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x14ac:dyDescent="0.2">
      <c r="A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x14ac:dyDescent="0.2">
      <c r="A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x14ac:dyDescent="0.2">
      <c r="A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x14ac:dyDescent="0.2">
      <c r="A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x14ac:dyDescent="0.2">
      <c r="A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x14ac:dyDescent="0.2">
      <c r="A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x14ac:dyDescent="0.2">
      <c r="A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x14ac:dyDescent="0.2">
      <c r="A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x14ac:dyDescent="0.2">
      <c r="A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x14ac:dyDescent="0.2">
      <c r="A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x14ac:dyDescent="0.2">
      <c r="A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x14ac:dyDescent="0.2">
      <c r="A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x14ac:dyDescent="0.2">
      <c r="A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x14ac:dyDescent="0.2">
      <c r="A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x14ac:dyDescent="0.2">
      <c r="A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x14ac:dyDescent="0.2">
      <c r="A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x14ac:dyDescent="0.2">
      <c r="A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x14ac:dyDescent="0.2">
      <c r="A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x14ac:dyDescent="0.2">
      <c r="A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x14ac:dyDescent="0.2">
      <c r="A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x14ac:dyDescent="0.2"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x14ac:dyDescent="0.2"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7:36" x14ac:dyDescent="0.2"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7:36" x14ac:dyDescent="0.2"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7:36" x14ac:dyDescent="0.2"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7:36" x14ac:dyDescent="0.2"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7:36" x14ac:dyDescent="0.2"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7:36" x14ac:dyDescent="0.2"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7:36" x14ac:dyDescent="0.2"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7:36" x14ac:dyDescent="0.2"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7:36" x14ac:dyDescent="0.2"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7:36" x14ac:dyDescent="0.2"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7:36" x14ac:dyDescent="0.2"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7:36" x14ac:dyDescent="0.2"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7:36" x14ac:dyDescent="0.2"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7:36" x14ac:dyDescent="0.2"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7:36" x14ac:dyDescent="0.2"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7:36" x14ac:dyDescent="0.2"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7:36" x14ac:dyDescent="0.2"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7:36" x14ac:dyDescent="0.2"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7:36" x14ac:dyDescent="0.2"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7:36" x14ac:dyDescent="0.2"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7:36" x14ac:dyDescent="0.2"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7:36" x14ac:dyDescent="0.2"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7:36" x14ac:dyDescent="0.2"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7:36" x14ac:dyDescent="0.2"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7:36" x14ac:dyDescent="0.2"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7:36" x14ac:dyDescent="0.2"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7:36" x14ac:dyDescent="0.2"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7:36" x14ac:dyDescent="0.2"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7:36" x14ac:dyDescent="0.2"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7:36" x14ac:dyDescent="0.2"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7:36" x14ac:dyDescent="0.2"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7:36" x14ac:dyDescent="0.2"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7:36" x14ac:dyDescent="0.2"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7:36" x14ac:dyDescent="0.2"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7:36" x14ac:dyDescent="0.2"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7:36" x14ac:dyDescent="0.2"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7:36" x14ac:dyDescent="0.2"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7:36" x14ac:dyDescent="0.2"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7:36" x14ac:dyDescent="0.2"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7:36" x14ac:dyDescent="0.2"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7:36" x14ac:dyDescent="0.2"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7:36" x14ac:dyDescent="0.2"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7:36" x14ac:dyDescent="0.2"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7:36" x14ac:dyDescent="0.2"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7:36" x14ac:dyDescent="0.2"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7:36" x14ac:dyDescent="0.2"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7:36" x14ac:dyDescent="0.2"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7:36" x14ac:dyDescent="0.2"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7:36" x14ac:dyDescent="0.2"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7:36" x14ac:dyDescent="0.2"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7:36" x14ac:dyDescent="0.2"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7:36" x14ac:dyDescent="0.2"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7:36" x14ac:dyDescent="0.2"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7:36" x14ac:dyDescent="0.2"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7:36" x14ac:dyDescent="0.2"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7:36" x14ac:dyDescent="0.2"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7:36" x14ac:dyDescent="0.2"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7:36" x14ac:dyDescent="0.2"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7:36" x14ac:dyDescent="0.2"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7:36" x14ac:dyDescent="0.2"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7:36" x14ac:dyDescent="0.2"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7:36" x14ac:dyDescent="0.2"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7:36" x14ac:dyDescent="0.2"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7:36" x14ac:dyDescent="0.2"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7:36" x14ac:dyDescent="0.2"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7:36" x14ac:dyDescent="0.2"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7:36" x14ac:dyDescent="0.2"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7:36" x14ac:dyDescent="0.2"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7:36" x14ac:dyDescent="0.2"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7:36" x14ac:dyDescent="0.2"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7:36" x14ac:dyDescent="0.2"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7:36" x14ac:dyDescent="0.2"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7:36" x14ac:dyDescent="0.2"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7:36" x14ac:dyDescent="0.2"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7:36" x14ac:dyDescent="0.2"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7:36" x14ac:dyDescent="0.2"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7:36" x14ac:dyDescent="0.2"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7:36" x14ac:dyDescent="0.2"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7:36" x14ac:dyDescent="0.2"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7:36" x14ac:dyDescent="0.2"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7:36" x14ac:dyDescent="0.2"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7:36" x14ac:dyDescent="0.2"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7:36" x14ac:dyDescent="0.2"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7:36" x14ac:dyDescent="0.2"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7:36" x14ac:dyDescent="0.2"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7:36" x14ac:dyDescent="0.2"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7:36" x14ac:dyDescent="0.2"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7:36" x14ac:dyDescent="0.2"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7:36" x14ac:dyDescent="0.2"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7:36" x14ac:dyDescent="0.2"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7:36" x14ac:dyDescent="0.2"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7:36" x14ac:dyDescent="0.2"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7:36" x14ac:dyDescent="0.2"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7:36" x14ac:dyDescent="0.2"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7:36" x14ac:dyDescent="0.2"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7:36" x14ac:dyDescent="0.2"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7:36" x14ac:dyDescent="0.2"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7:36" x14ac:dyDescent="0.2"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7:36" x14ac:dyDescent="0.2"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7:36" x14ac:dyDescent="0.2"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7:36" x14ac:dyDescent="0.2"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7:36" x14ac:dyDescent="0.2"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7:36" x14ac:dyDescent="0.2"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7:36" x14ac:dyDescent="0.2"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7:36" x14ac:dyDescent="0.2"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7:36" x14ac:dyDescent="0.2"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7:36" x14ac:dyDescent="0.2"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7:36" x14ac:dyDescent="0.2"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7:36" x14ac:dyDescent="0.2"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7:36" x14ac:dyDescent="0.2"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7:36" x14ac:dyDescent="0.2"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7:36" x14ac:dyDescent="0.2"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7:36" x14ac:dyDescent="0.2"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7:36" x14ac:dyDescent="0.2"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7:36" x14ac:dyDescent="0.2"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7:36" x14ac:dyDescent="0.2"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7:36" x14ac:dyDescent="0.2"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7:36" x14ac:dyDescent="0.2"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7:36" x14ac:dyDescent="0.2"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7:36" x14ac:dyDescent="0.2"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7:36" x14ac:dyDescent="0.2"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7:36" x14ac:dyDescent="0.2"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7:36" x14ac:dyDescent="0.2"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7:36" x14ac:dyDescent="0.2"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7:36" x14ac:dyDescent="0.2"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7:36" x14ac:dyDescent="0.2"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7:36" x14ac:dyDescent="0.2"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7:36" x14ac:dyDescent="0.2"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7:36" x14ac:dyDescent="0.2"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7:36" x14ac:dyDescent="0.2"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7:36" x14ac:dyDescent="0.2"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7:36" x14ac:dyDescent="0.2"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7:36" x14ac:dyDescent="0.2"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7:36" x14ac:dyDescent="0.2"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7:36" x14ac:dyDescent="0.2"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7:36" x14ac:dyDescent="0.2"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7:36" x14ac:dyDescent="0.2"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7:36" x14ac:dyDescent="0.2"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7:36" x14ac:dyDescent="0.2"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7:36" x14ac:dyDescent="0.2"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7:36" x14ac:dyDescent="0.2"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7:36" x14ac:dyDescent="0.2"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7:36" x14ac:dyDescent="0.2"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7:36" x14ac:dyDescent="0.2"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7:36" x14ac:dyDescent="0.2"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7:36" x14ac:dyDescent="0.2"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7:36" x14ac:dyDescent="0.2"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7:36" x14ac:dyDescent="0.2"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7:36" x14ac:dyDescent="0.2"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7:36" x14ac:dyDescent="0.2"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7:36" x14ac:dyDescent="0.2"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7:36" x14ac:dyDescent="0.2"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7:36" x14ac:dyDescent="0.2"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7:36" x14ac:dyDescent="0.2"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7:36" x14ac:dyDescent="0.2"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7:36" x14ac:dyDescent="0.2"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7:36" x14ac:dyDescent="0.2"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7:36" x14ac:dyDescent="0.2"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7:36" x14ac:dyDescent="0.2"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</sheetData>
  <sheetProtection algorithmName="SHA-512" hashValue="KE9RwfZZBajBg3tlflyxhCD2dBPQj3qhmLX+4dgpOWsThFgOQe6ZHNovMhCvgKAF22gfaxkDDSDoRCWM5puGqQ==" saltValue="e3Eqem2ihkaktqgFMBnstQ==" spinCount="100000" sheet="1" selectLockedCells="1"/>
  <mergeCells count="4">
    <mergeCell ref="B5:I5"/>
    <mergeCell ref="F41:G41"/>
    <mergeCell ref="B3:I3"/>
    <mergeCell ref="B1:I1"/>
  </mergeCells>
  <phoneticPr fontId="0" type="noConversion"/>
  <pageMargins left="0.25" right="0.25" top="0.75" bottom="0.75" header="0.3" footer="0.3"/>
  <pageSetup paperSize="9" scale="68" orientation="landscape" verticalDpi="90" r:id="rId1"/>
  <headerFooter alignWithMargins="0">
    <oddHeader>&amp;C&amp;"Calibri"&amp;10&amp;K000000 UNCLASSIFIED&amp;1#_x000D_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9</xdr:col>
                    <xdr:colOff>0</xdr:colOff>
                    <xdr:row>18</xdr:row>
                    <xdr:rowOff>9525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autoPict="0">
                <anchor moveWithCells="1" sizeWithCells="1">
                  <from>
                    <xdr:col>9</xdr:col>
                    <xdr:colOff>0</xdr:colOff>
                    <xdr:row>20</xdr:row>
                    <xdr:rowOff>9525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Spinner 3">
              <controlPr defaultSize="0" autoPict="0">
                <anchor moveWithCells="1" siz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Spinner 4">
              <controlPr defaultSize="0" autoPict="0">
                <anchor moveWithCells="1" sizeWithCells="1">
                  <from>
                    <xdr:col>9</xdr:col>
                    <xdr:colOff>0</xdr:colOff>
                    <xdr:row>28</xdr:row>
                    <xdr:rowOff>9525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Spinner 5">
              <controlPr defaultSize="0" autoPict="0">
                <anchor moveWithCells="1" sizeWithCells="1">
                  <from>
                    <xdr:col>9</xdr:col>
                    <xdr:colOff>0</xdr:colOff>
                    <xdr:row>32</xdr:row>
                    <xdr:rowOff>9525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Spinner 6">
              <controlPr defaultSize="0" autoPict="0">
                <anchor moveWithCells="1" sizeWithCells="1">
                  <from>
                    <xdr:col>9</xdr:col>
                    <xdr:colOff>0</xdr:colOff>
                    <xdr:row>38</xdr:row>
                    <xdr:rowOff>9525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Spinner 7">
              <controlPr defaultSize="0" autoPict="0">
                <anchor moveWithCells="1" sizeWithCells="1">
                  <from>
                    <xdr:col>9</xdr:col>
                    <xdr:colOff>0</xdr:colOff>
                    <xdr:row>18</xdr:row>
                    <xdr:rowOff>38100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Spinner 8">
              <controlPr defaultSize="0" autoPict="0">
                <anchor moveWithCells="1" sizeWithCells="1">
                  <from>
                    <xdr:col>9</xdr:col>
                    <xdr:colOff>0</xdr:colOff>
                    <xdr:row>20</xdr:row>
                    <xdr:rowOff>38100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Spinner 9">
              <controlPr defaultSize="0" autoPict="0">
                <anchor moveWithCells="1" sizeWithCells="1">
                  <from>
                    <xdr:col>9</xdr:col>
                    <xdr:colOff>0</xdr:colOff>
                    <xdr:row>24</xdr:row>
                    <xdr:rowOff>38100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Spinner 10">
              <controlPr defaultSize="0" autoPict="0">
                <anchor moveWithCells="1" sizeWithCells="1">
                  <from>
                    <xdr:col>9</xdr:col>
                    <xdr:colOff>0</xdr:colOff>
                    <xdr:row>28</xdr:row>
                    <xdr:rowOff>38100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Spinner 11">
              <controlPr defaultSize="0" autoPict="0">
                <anchor moveWithCells="1" sizeWithCells="1">
                  <from>
                    <xdr:col>9</xdr:col>
                    <xdr:colOff>0</xdr:colOff>
                    <xdr:row>32</xdr:row>
                    <xdr:rowOff>38100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Spinner 12">
              <controlPr defaultSize="0" autoPict="0">
                <anchor moveWithCells="1" sizeWithCells="1">
                  <from>
                    <xdr:col>9</xdr:col>
                    <xdr:colOff>0</xdr:colOff>
                    <xdr:row>38</xdr:row>
                    <xdr:rowOff>38100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E362"/>
  <sheetViews>
    <sheetView showGridLines="0" view="pageBreakPreview" zoomScale="80" zoomScaleNormal="70" zoomScaleSheetLayoutView="80" workbookViewId="0">
      <selection activeCell="G43" sqref="G43"/>
    </sheetView>
  </sheetViews>
  <sheetFormatPr defaultRowHeight="12.75" x14ac:dyDescent="0.2"/>
  <cols>
    <col min="1" max="1" width="6" customWidth="1"/>
    <col min="2" max="2" width="3.5703125" customWidth="1"/>
    <col min="3" max="3" width="23.28515625" bestFit="1" customWidth="1"/>
    <col min="4" max="4" width="37" bestFit="1" customWidth="1"/>
    <col min="5" max="5" width="32.42578125" bestFit="1" customWidth="1"/>
    <col min="6" max="6" width="29.5703125" bestFit="1" customWidth="1"/>
    <col min="7" max="7" width="5" customWidth="1"/>
  </cols>
  <sheetData>
    <row r="1" spans="1:31" ht="11.25" customHeight="1" x14ac:dyDescent="0.2">
      <c r="A1" s="2"/>
      <c r="B1" s="2"/>
      <c r="C1" s="36"/>
      <c r="D1" s="36"/>
      <c r="E1" s="36"/>
      <c r="F1" s="36"/>
      <c r="G1" s="3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1.25" customHeight="1" x14ac:dyDescent="0.2">
      <c r="A2" s="2"/>
      <c r="B2" s="2"/>
      <c r="C2" s="36"/>
      <c r="D2" s="36"/>
      <c r="E2" s="36"/>
      <c r="F2" s="36"/>
      <c r="G2" s="3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6.25" x14ac:dyDescent="0.4">
      <c r="A3" s="2"/>
      <c r="B3" s="2"/>
      <c r="C3" s="268" t="s">
        <v>42</v>
      </c>
      <c r="D3" s="268"/>
      <c r="E3" s="268"/>
      <c r="F3" s="268"/>
      <c r="G3" s="26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25" x14ac:dyDescent="0.3">
      <c r="A4" s="2"/>
      <c r="B4" s="2"/>
      <c r="C4" s="274" t="s">
        <v>43</v>
      </c>
      <c r="D4" s="274"/>
      <c r="E4" s="274"/>
      <c r="F4" s="274"/>
      <c r="G4" s="27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">
      <c r="A5" s="2"/>
      <c r="B5" s="2"/>
      <c r="C5" s="36"/>
      <c r="D5" s="36"/>
      <c r="E5" s="36"/>
      <c r="F5" s="36"/>
      <c r="G5" s="3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">
      <c r="A6" s="2"/>
      <c r="B6" s="2"/>
      <c r="C6" s="36"/>
      <c r="D6" s="36"/>
      <c r="E6" s="36"/>
      <c r="F6" s="36"/>
      <c r="G6" s="3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5.75" x14ac:dyDescent="0.25">
      <c r="A7" s="2"/>
      <c r="B7" s="2"/>
      <c r="C7" s="272" t="s">
        <v>44</v>
      </c>
      <c r="D7" s="272"/>
      <c r="E7" s="272"/>
      <c r="F7" s="272"/>
      <c r="G7" s="27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">
      <c r="A8" s="2"/>
      <c r="B8" s="2"/>
      <c r="C8" s="36"/>
      <c r="D8" s="36"/>
      <c r="E8" s="36"/>
      <c r="F8" s="36"/>
      <c r="G8" s="3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5.75" x14ac:dyDescent="0.25">
      <c r="A9" s="2"/>
      <c r="B9" s="2"/>
      <c r="C9" s="36"/>
      <c r="D9" s="56" t="s">
        <v>45</v>
      </c>
      <c r="E9" s="51" t="s">
        <v>46</v>
      </c>
      <c r="F9" s="36"/>
      <c r="G9" s="3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5.75" x14ac:dyDescent="0.25">
      <c r="A10" s="2"/>
      <c r="B10" s="2"/>
      <c r="C10" s="2"/>
      <c r="D10" s="55" t="str">
        <f>'Revenue Split'!I41</f>
        <v>n/a</v>
      </c>
      <c r="E10" s="54" t="str">
        <f>IF(D10="n/a","n/a",1-D10)</f>
        <v>n/a</v>
      </c>
      <c r="F10" s="254">
        <v>0.5</v>
      </c>
      <c r="G10" s="255">
        <f>1-F10</f>
        <v>0.5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thickBo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5" customHeight="1" x14ac:dyDescent="0.2">
      <c r="A13" s="2"/>
      <c r="B13" s="30"/>
      <c r="C13" s="31"/>
      <c r="D13" s="31"/>
      <c r="E13" s="31"/>
      <c r="F13" s="31"/>
      <c r="G13" s="3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" customHeight="1" x14ac:dyDescent="0.25">
      <c r="A14" s="2"/>
      <c r="B14" s="33"/>
      <c r="C14" s="264" t="s">
        <v>47</v>
      </c>
      <c r="D14" s="265" t="s">
        <v>48</v>
      </c>
      <c r="E14" s="266" t="s">
        <v>49</v>
      </c>
      <c r="F14" s="266" t="s">
        <v>50</v>
      </c>
      <c r="G14" s="3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5" customHeight="1" x14ac:dyDescent="0.25">
      <c r="A15" s="2"/>
      <c r="B15" s="33"/>
      <c r="C15" s="264"/>
      <c r="D15" s="264"/>
      <c r="E15" s="264"/>
      <c r="F15" s="264" t="s">
        <v>51</v>
      </c>
      <c r="G15" s="3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5" customHeight="1" x14ac:dyDescent="0.25">
      <c r="A16" s="2"/>
      <c r="B16" s="33"/>
      <c r="C16" s="261"/>
      <c r="D16" s="261"/>
      <c r="E16" s="2"/>
      <c r="F16" s="2"/>
      <c r="G16" s="3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5" customHeight="1" x14ac:dyDescent="0.25">
      <c r="A17" s="2"/>
      <c r="B17" s="33"/>
      <c r="C17" s="261" t="s">
        <v>52</v>
      </c>
      <c r="D17" s="262">
        <v>3.7364019933937273E-2</v>
      </c>
      <c r="E17" s="262">
        <v>2.7980000000000001E-2</v>
      </c>
      <c r="F17" s="263">
        <f t="shared" ref="F17:F30" si="0">IF(D17&gt;E17,(D17-(MAX($D$10,DefaultCapitationContribution)*E17))/MIN($E$10,DefaultCopaymentContribution),IF(ISNUMBER($D$10),(D17-$D$10*E17)/$E$10,(D17-DefaultCapitationContribution*E17)/DefaultCopaymentContribution))</f>
        <v>4.6748039867874541E-2</v>
      </c>
      <c r="G17" s="3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5" customHeight="1" x14ac:dyDescent="0.25">
      <c r="A18" s="2"/>
      <c r="B18" s="33"/>
      <c r="C18" s="261" t="s">
        <v>53</v>
      </c>
      <c r="D18" s="262">
        <v>4.8000000000000001E-2</v>
      </c>
      <c r="E18" s="262">
        <v>3.116E-2</v>
      </c>
      <c r="F18" s="263">
        <f t="shared" si="0"/>
        <v>6.4840000000000009E-2</v>
      </c>
      <c r="G18" s="3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5" customHeight="1" x14ac:dyDescent="0.25">
      <c r="A19" s="2"/>
      <c r="B19" s="33"/>
      <c r="C19" s="261" t="s">
        <v>54</v>
      </c>
      <c r="D19" s="262">
        <v>3.0099999999999998E-2</v>
      </c>
      <c r="E19" s="262">
        <v>0.02</v>
      </c>
      <c r="F19" s="263">
        <f t="shared" si="0"/>
        <v>4.02E-2</v>
      </c>
      <c r="G19" s="6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5" customHeight="1" x14ac:dyDescent="0.25">
      <c r="A20" s="2"/>
      <c r="B20" s="33"/>
      <c r="C20" s="261" t="s">
        <v>55</v>
      </c>
      <c r="D20" s="262">
        <v>1.0945E-2</v>
      </c>
      <c r="E20" s="262">
        <v>0.02</v>
      </c>
      <c r="F20" s="263">
        <f t="shared" si="0"/>
        <v>1.8899999999999993E-3</v>
      </c>
      <c r="G20" s="6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5" customHeight="1" x14ac:dyDescent="0.25">
      <c r="A21" s="2"/>
      <c r="B21" s="33"/>
      <c r="C21" s="261" t="s">
        <v>56</v>
      </c>
      <c r="D21" s="262">
        <v>1.414E-2</v>
      </c>
      <c r="E21" s="262">
        <v>1.49E-2</v>
      </c>
      <c r="F21" s="263">
        <f t="shared" si="0"/>
        <v>1.338E-2</v>
      </c>
      <c r="G21" s="6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5" customHeight="1" x14ac:dyDescent="0.25">
      <c r="A22" s="2"/>
      <c r="B22" s="33"/>
      <c r="C22" s="261" t="s">
        <v>57</v>
      </c>
      <c r="D22" s="262">
        <v>1.504E-2</v>
      </c>
      <c r="E22" s="262">
        <v>0.01</v>
      </c>
      <c r="F22" s="263">
        <f t="shared" si="0"/>
        <v>2.0080000000000001E-2</v>
      </c>
      <c r="G22" s="6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2" customFormat="1" ht="15" customHeight="1" x14ac:dyDescent="0.25">
      <c r="B23" s="33"/>
      <c r="C23" s="261" t="s">
        <v>58</v>
      </c>
      <c r="D23" s="262">
        <v>1.1849999999999999E-2</v>
      </c>
      <c r="E23" s="262">
        <v>0.01</v>
      </c>
      <c r="F23" s="263">
        <f t="shared" si="0"/>
        <v>1.3699999999999999E-2</v>
      </c>
      <c r="G23" s="68"/>
    </row>
    <row r="24" spans="1:31" s="2" customFormat="1" ht="15" customHeight="1" x14ac:dyDescent="0.25">
      <c r="B24" s="33"/>
      <c r="C24" s="261" t="s">
        <v>59</v>
      </c>
      <c r="D24" s="262">
        <v>1.1037E-2</v>
      </c>
      <c r="E24" s="262">
        <v>8.0000000000000002E-3</v>
      </c>
      <c r="F24" s="263">
        <f t="shared" si="0"/>
        <v>1.4074E-2</v>
      </c>
      <c r="G24" s="68"/>
    </row>
    <row r="25" spans="1:31" s="2" customFormat="1" ht="15" customHeight="1" x14ac:dyDescent="0.25">
      <c r="B25" s="33"/>
      <c r="C25" s="261" t="s">
        <v>60</v>
      </c>
      <c r="D25" s="262">
        <v>1.1246702000000001E-2</v>
      </c>
      <c r="E25" s="262">
        <v>0.01</v>
      </c>
      <c r="F25" s="263">
        <f t="shared" si="0"/>
        <v>1.2493404000000001E-2</v>
      </c>
      <c r="G25" s="68"/>
    </row>
    <row r="26" spans="1:31" s="2" customFormat="1" ht="15" customHeight="1" x14ac:dyDescent="0.25">
      <c r="B26" s="33"/>
      <c r="C26" s="261" t="s">
        <v>61</v>
      </c>
      <c r="D26" s="262">
        <v>1.5699999999999999E-2</v>
      </c>
      <c r="E26" s="262">
        <v>1.8200000000000001E-2</v>
      </c>
      <c r="F26" s="263">
        <f t="shared" si="0"/>
        <v>1.3199999999999996E-2</v>
      </c>
      <c r="G26" s="68"/>
    </row>
    <row r="27" spans="1:31" s="2" customFormat="1" ht="15" customHeight="1" x14ac:dyDescent="0.25">
      <c r="B27" s="33"/>
      <c r="C27" s="261" t="s">
        <v>62</v>
      </c>
      <c r="D27" s="262">
        <v>2.3800000000000002E-2</v>
      </c>
      <c r="E27" s="262">
        <v>2.3800000000000002E-2</v>
      </c>
      <c r="F27" s="263">
        <f t="shared" si="0"/>
        <v>2.3800000000000002E-2</v>
      </c>
      <c r="G27" s="68"/>
    </row>
    <row r="28" spans="1:31" s="2" customFormat="1" ht="15" customHeight="1" x14ac:dyDescent="0.25">
      <c r="B28" s="33"/>
      <c r="C28" s="261" t="s">
        <v>63</v>
      </c>
      <c r="D28" s="262">
        <v>2.9100000000000001E-2</v>
      </c>
      <c r="E28" s="262">
        <v>2.9100000000000001E-2</v>
      </c>
      <c r="F28" s="263">
        <f t="shared" si="0"/>
        <v>2.9100000000000001E-2</v>
      </c>
      <c r="G28" s="68"/>
    </row>
    <row r="29" spans="1:31" s="2" customFormat="1" ht="15" customHeight="1" x14ac:dyDescent="0.25">
      <c r="B29" s="33"/>
      <c r="C29" s="261" t="s">
        <v>64</v>
      </c>
      <c r="D29" s="262">
        <v>3.5099999999999999E-2</v>
      </c>
      <c r="E29" s="262">
        <v>3.5099999999999999E-2</v>
      </c>
      <c r="F29" s="263">
        <f t="shared" si="0"/>
        <v>3.5099999999999999E-2</v>
      </c>
      <c r="G29" s="68"/>
    </row>
    <row r="30" spans="1:31" s="2" customFormat="1" ht="15" customHeight="1" x14ac:dyDescent="0.25">
      <c r="B30" s="33"/>
      <c r="C30" s="261" t="s">
        <v>65</v>
      </c>
      <c r="D30" s="262">
        <v>2.7799999999999998E-2</v>
      </c>
      <c r="E30" s="262">
        <v>2.7799999999999998E-2</v>
      </c>
      <c r="F30" s="263">
        <f t="shared" si="0"/>
        <v>2.7799999999999998E-2</v>
      </c>
      <c r="G30" s="68"/>
    </row>
    <row r="31" spans="1:31" s="2" customFormat="1" ht="15" customHeight="1" x14ac:dyDescent="0.25">
      <c r="B31" s="33"/>
      <c r="C31" s="261" t="s">
        <v>66</v>
      </c>
      <c r="D31" s="262">
        <v>2.3800000000000002E-2</v>
      </c>
      <c r="E31" s="262">
        <v>2.3800000000000002E-2</v>
      </c>
      <c r="F31" s="263">
        <f t="shared" ref="F31:F33" si="1">IF(D31&gt;E31,(D31-(MAX($D$10,DefaultCapitationContribution)*E31))/MIN($E$10,DefaultCopaymentContribution),IF(ISNUMBER($D$10),(D31-$D$10*E31)/$E$10,(D31-DefaultCapitationContribution*E31)/DefaultCopaymentContribution))</f>
        <v>2.3800000000000002E-2</v>
      </c>
      <c r="G31" s="267"/>
    </row>
    <row r="32" spans="1:31" s="2" customFormat="1" ht="15" customHeight="1" x14ac:dyDescent="0.25">
      <c r="B32" s="33"/>
      <c r="C32" s="261" t="s">
        <v>67</v>
      </c>
      <c r="D32" s="262">
        <v>4.9200000000000001E-2</v>
      </c>
      <c r="E32" s="262">
        <v>4.9200000000000001E-2</v>
      </c>
      <c r="F32" s="263">
        <f t="shared" si="1"/>
        <v>4.9200000000000001E-2</v>
      </c>
      <c r="G32" s="267"/>
    </row>
    <row r="33" spans="1:31" s="2" customFormat="1" ht="15" customHeight="1" thickBot="1" x14ac:dyDescent="0.3">
      <c r="B33" s="35"/>
      <c r="C33" s="248" t="s">
        <v>68</v>
      </c>
      <c r="D33" s="249">
        <v>5.8799999999999998E-2</v>
      </c>
      <c r="E33" s="249">
        <v>0.04</v>
      </c>
      <c r="F33" s="250">
        <f t="shared" si="1"/>
        <v>7.7600000000000002E-2</v>
      </c>
      <c r="G33" s="84"/>
    </row>
    <row r="34" spans="1:31" s="2" customFormat="1" ht="15" customHeight="1" x14ac:dyDescent="0.2">
      <c r="C34" s="36"/>
      <c r="D34" s="36"/>
      <c r="E34" s="36"/>
      <c r="F34" s="36"/>
      <c r="G34" s="36"/>
    </row>
    <row r="35" spans="1:31" ht="30.75" customHeight="1" x14ac:dyDescent="0.25">
      <c r="A35" s="2"/>
      <c r="B35" s="2"/>
      <c r="C35" s="273" t="s">
        <v>69</v>
      </c>
      <c r="D35" s="273"/>
      <c r="E35" s="273"/>
      <c r="F35" s="273"/>
      <c r="G35" s="27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" customHeight="1" x14ac:dyDescent="0.2">
      <c r="A36" s="2"/>
      <c r="B36" s="2"/>
      <c r="C36" s="36"/>
      <c r="D36" s="36"/>
      <c r="E36" s="36"/>
      <c r="F36" s="36"/>
      <c r="G36" s="3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5" customHeight="1" x14ac:dyDescent="0.25">
      <c r="A37" s="2"/>
      <c r="B37" s="2"/>
      <c r="C37" s="2"/>
      <c r="D37" s="52" t="s">
        <v>47</v>
      </c>
      <c r="E37" s="51" t="s">
        <v>50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5" customHeight="1" x14ac:dyDescent="0.25">
      <c r="A38" s="2"/>
      <c r="B38" s="2"/>
      <c r="C38" s="2"/>
      <c r="D38" s="85"/>
      <c r="E38" s="8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5" customHeight="1" x14ac:dyDescent="0.25">
      <c r="A39" s="2"/>
      <c r="B39" s="2"/>
      <c r="C39" s="2"/>
      <c r="D39" s="53" t="s">
        <v>52</v>
      </c>
      <c r="E39" s="110">
        <f t="shared" ref="E39:E49" si="2">F17</f>
        <v>4.6748039867874541E-2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5" customHeight="1" x14ac:dyDescent="0.25">
      <c r="A40" s="2"/>
      <c r="B40" s="2"/>
      <c r="C40" s="2"/>
      <c r="D40" s="53" t="s">
        <v>53</v>
      </c>
      <c r="E40" s="110">
        <f t="shared" si="2"/>
        <v>6.4840000000000009E-2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5" customHeight="1" x14ac:dyDescent="0.25">
      <c r="A41" s="2"/>
      <c r="B41" s="2"/>
      <c r="C41" s="2"/>
      <c r="D41" s="53" t="s">
        <v>54</v>
      </c>
      <c r="E41" s="110">
        <f t="shared" si="2"/>
        <v>4.02E-2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5" customHeight="1" x14ac:dyDescent="0.25">
      <c r="A42" s="2"/>
      <c r="B42" s="2"/>
      <c r="C42" s="2"/>
      <c r="D42" s="53" t="s">
        <v>55</v>
      </c>
      <c r="E42" s="110">
        <f t="shared" si="2"/>
        <v>1.8899999999999993E-3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" customHeight="1" x14ac:dyDescent="0.25">
      <c r="A43" s="2"/>
      <c r="B43" s="2"/>
      <c r="C43" s="2"/>
      <c r="D43" s="53" t="s">
        <v>56</v>
      </c>
      <c r="E43" s="110">
        <f t="shared" si="2"/>
        <v>1.338E-2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" customHeight="1" x14ac:dyDescent="0.25">
      <c r="A44" s="2"/>
      <c r="B44" s="2"/>
      <c r="C44" s="2"/>
      <c r="D44" s="53" t="s">
        <v>57</v>
      </c>
      <c r="E44" s="110">
        <f t="shared" si="2"/>
        <v>2.0080000000000001E-2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" customHeight="1" x14ac:dyDescent="0.25">
      <c r="A45" s="2"/>
      <c r="B45" s="2"/>
      <c r="C45" s="2"/>
      <c r="D45" s="53" t="s">
        <v>58</v>
      </c>
      <c r="E45" s="110">
        <f t="shared" si="2"/>
        <v>1.3699999999999999E-2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" customHeight="1" x14ac:dyDescent="0.25">
      <c r="A46" s="2"/>
      <c r="B46" s="2"/>
      <c r="C46" s="2"/>
      <c r="D46" s="53" t="s">
        <v>59</v>
      </c>
      <c r="E46" s="110">
        <f t="shared" si="2"/>
        <v>1.4074E-2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" customHeight="1" x14ac:dyDescent="0.25">
      <c r="A47" s="2"/>
      <c r="B47" s="2"/>
      <c r="C47" s="2"/>
      <c r="D47" s="53" t="s">
        <v>60</v>
      </c>
      <c r="E47" s="110">
        <f t="shared" si="2"/>
        <v>1.2493404000000001E-2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" customHeight="1" x14ac:dyDescent="0.25">
      <c r="A48" s="2"/>
      <c r="B48" s="2"/>
      <c r="C48" s="2"/>
      <c r="D48" s="53" t="s">
        <v>61</v>
      </c>
      <c r="E48" s="110">
        <f t="shared" si="2"/>
        <v>1.3199999999999996E-2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25">
      <c r="A49" s="2"/>
      <c r="B49" s="2"/>
      <c r="C49" s="2"/>
      <c r="D49" s="53" t="s">
        <v>62</v>
      </c>
      <c r="E49" s="110">
        <f t="shared" si="2"/>
        <v>2.3800000000000002E-2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" customHeight="1" x14ac:dyDescent="0.25">
      <c r="A50" s="2"/>
      <c r="B50" s="2"/>
      <c r="C50" s="2"/>
      <c r="D50" s="53" t="s">
        <v>63</v>
      </c>
      <c r="E50" s="110">
        <f t="shared" ref="E50:E55" si="3">F28</f>
        <v>2.9100000000000001E-2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" customHeight="1" x14ac:dyDescent="0.25">
      <c r="A51" s="2"/>
      <c r="B51" s="2"/>
      <c r="C51" s="2"/>
      <c r="D51" s="53" t="s">
        <v>64</v>
      </c>
      <c r="E51" s="110">
        <f t="shared" si="3"/>
        <v>3.5099999999999999E-2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" customHeight="1" x14ac:dyDescent="0.25">
      <c r="A52" s="2"/>
      <c r="B52" s="2"/>
      <c r="C52" s="2"/>
      <c r="D52" s="53" t="s">
        <v>65</v>
      </c>
      <c r="E52" s="110">
        <f t="shared" si="3"/>
        <v>2.7799999999999998E-2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" customHeight="1" x14ac:dyDescent="0.25">
      <c r="A53" s="2"/>
      <c r="B53" s="2"/>
      <c r="C53" s="2"/>
      <c r="D53" s="53" t="s">
        <v>66</v>
      </c>
      <c r="E53" s="110">
        <f t="shared" si="3"/>
        <v>2.3800000000000002E-2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" customHeight="1" x14ac:dyDescent="0.25">
      <c r="A54" s="2"/>
      <c r="B54" s="2"/>
      <c r="C54" s="2"/>
      <c r="D54" s="53" t="s">
        <v>67</v>
      </c>
      <c r="E54" s="110">
        <f t="shared" si="3"/>
        <v>4.9200000000000001E-2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" customHeight="1" x14ac:dyDescent="0.25">
      <c r="A55" s="2"/>
      <c r="B55" s="2"/>
      <c r="C55" s="2"/>
      <c r="D55" s="59" t="s">
        <v>68</v>
      </c>
      <c r="E55" s="87">
        <f t="shared" si="3"/>
        <v>7.7600000000000002E-2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7.45" customHeight="1" x14ac:dyDescent="0.25">
      <c r="A57" s="2"/>
      <c r="B57" s="2"/>
      <c r="C57" s="89" t="s">
        <v>70</v>
      </c>
      <c r="D57" s="90" t="s">
        <v>71</v>
      </c>
      <c r="E57" s="91" t="s">
        <v>72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.75" x14ac:dyDescent="0.25">
      <c r="A58" s="2"/>
      <c r="B58" s="2"/>
      <c r="C58" s="2"/>
      <c r="D58" s="163" t="s">
        <v>68</v>
      </c>
      <c r="E58" s="88">
        <f>VLOOKUP(D58,D39:E55,2,FALSE)</f>
        <v>7.7600000000000002E-2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">
      <c r="A68" s="37"/>
      <c r="B68" s="37"/>
      <c r="C68" s="37"/>
      <c r="D68" s="2"/>
      <c r="E68" s="2"/>
      <c r="F68" s="37"/>
      <c r="G68" s="37"/>
      <c r="H68" s="37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">
      <c r="A69" s="2"/>
      <c r="B69" s="2"/>
      <c r="C69" s="2"/>
      <c r="D69" s="37"/>
      <c r="E69" s="3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2">
      <c r="A72" s="37"/>
      <c r="B72" s="37"/>
      <c r="C72" s="37"/>
      <c r="D72" s="2"/>
      <c r="E72" s="2"/>
      <c r="F72" s="37"/>
      <c r="G72" s="37"/>
      <c r="H72" s="3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x14ac:dyDescent="0.2">
      <c r="A73" s="2"/>
      <c r="B73" s="2"/>
      <c r="C73" s="2"/>
      <c r="D73" s="37"/>
      <c r="E73" s="3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x14ac:dyDescent="0.2">
      <c r="D362" s="2"/>
      <c r="E362" s="2"/>
    </row>
  </sheetData>
  <sheetProtection algorithmName="SHA-512" hashValue="MUNLy2fJdimH68RY0ivT9x/iVXVEjTogAna0owyJN/SJL1fxvDENSxA/wtHinBg+uwHJizMenKK/PYClko6cmQ==" saltValue="Fa8YUc6OJUvd/CvO3NqyUQ==" spinCount="100000" sheet="1" objects="1" scenarios="1"/>
  <mergeCells count="4">
    <mergeCell ref="C3:G3"/>
    <mergeCell ref="C7:G7"/>
    <mergeCell ref="C35:G35"/>
    <mergeCell ref="C4:G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headerFooter alignWithMargins="0">
    <oddHeader>&amp;C&amp;"Calibri"&amp;10&amp;K000000 UNCLASSIFIED&amp;1#_x000D_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C363"/>
  <sheetViews>
    <sheetView showGridLines="0" zoomScale="85" zoomScaleNormal="85" zoomScalePageLayoutView="70" workbookViewId="0">
      <selection activeCell="I38" sqref="I38:N39"/>
    </sheetView>
  </sheetViews>
  <sheetFormatPr defaultRowHeight="12.75" x14ac:dyDescent="0.2"/>
  <cols>
    <col min="1" max="1" width="3.28515625" customWidth="1"/>
    <col min="2" max="2" width="2" customWidth="1"/>
    <col min="3" max="3" width="26" customWidth="1"/>
    <col min="4" max="4" width="19.42578125" customWidth="1"/>
    <col min="5" max="5" width="11.28515625" customWidth="1"/>
    <col min="6" max="6" width="17.28515625" customWidth="1"/>
    <col min="7" max="7" width="15.85546875" customWidth="1"/>
    <col min="8" max="8" width="3" customWidth="1"/>
    <col min="9" max="9" width="15" customWidth="1"/>
    <col min="10" max="10" width="15.42578125" hidden="1" customWidth="1"/>
    <col min="11" max="11" width="1.85546875" customWidth="1"/>
    <col min="12" max="12" width="11.85546875" customWidth="1"/>
    <col min="13" max="13" width="48.85546875" hidden="1" customWidth="1"/>
    <col min="14" max="14" width="4.42578125" customWidth="1"/>
    <col min="15" max="15" width="3.85546875" hidden="1" customWidth="1"/>
    <col min="16" max="16" width="4.5703125" hidden="1" customWidth="1"/>
    <col min="17" max="17" width="3" customWidth="1"/>
    <col min="18" max="18" width="0.28515625" hidden="1" customWidth="1"/>
    <col min="19" max="19" width="19.5703125" customWidth="1"/>
    <col min="20" max="20" width="17.85546875" customWidth="1"/>
    <col min="21" max="21" width="17.140625" customWidth="1"/>
    <col min="22" max="22" width="17" customWidth="1"/>
    <col min="23" max="23" width="19.140625" customWidth="1"/>
    <col min="24" max="24" width="17.140625" customWidth="1"/>
    <col min="25" max="25" width="1.28515625" customWidth="1"/>
    <col min="26" max="26" width="22.5703125" customWidth="1"/>
    <col min="27" max="27" width="20.28515625" customWidth="1"/>
    <col min="28" max="28" width="0.85546875" customWidth="1"/>
    <col min="29" max="29" width="5" customWidth="1"/>
  </cols>
  <sheetData>
    <row r="1" spans="1:29" s="2" customFormat="1" ht="15" customHeight="1" x14ac:dyDescent="0.2"/>
    <row r="2" spans="1:29" ht="25.5" customHeight="1" x14ac:dyDescent="0.35">
      <c r="B2" s="69"/>
      <c r="C2" s="69" t="s">
        <v>73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2"/>
    </row>
    <row r="3" spans="1:29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" x14ac:dyDescent="0.25">
      <c r="A4" s="2"/>
      <c r="B4" s="47"/>
      <c r="C4" s="48" t="s">
        <v>74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2"/>
    </row>
    <row r="5" spans="1:29" ht="18" x14ac:dyDescent="0.25">
      <c r="A5" s="2"/>
      <c r="B5" s="47"/>
      <c r="C5" s="58" t="s">
        <v>75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2"/>
    </row>
    <row r="6" spans="1:29" ht="18" x14ac:dyDescent="0.25">
      <c r="A6" s="2"/>
      <c r="B6" s="47"/>
      <c r="C6" s="48" t="s">
        <v>76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2"/>
    </row>
    <row r="7" spans="1:29" ht="18" x14ac:dyDescent="0.25">
      <c r="A7" s="2"/>
      <c r="B7" s="47"/>
      <c r="C7" s="48" t="s">
        <v>77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2"/>
    </row>
    <row r="8" spans="1:29" ht="18" x14ac:dyDescent="0.25">
      <c r="A8" s="2"/>
      <c r="B8" s="47"/>
      <c r="C8" s="48" t="s">
        <v>78</v>
      </c>
      <c r="D8" s="47"/>
      <c r="E8" s="47"/>
      <c r="F8" s="95">
        <v>0.15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2"/>
    </row>
    <row r="9" spans="1:29" ht="18" x14ac:dyDescent="0.25">
      <c r="A9" s="2"/>
      <c r="B9" s="47"/>
      <c r="C9" s="48" t="s">
        <v>79</v>
      </c>
      <c r="D9" s="47"/>
      <c r="E9" s="47"/>
      <c r="F9" s="95">
        <v>0.15</v>
      </c>
      <c r="G9" s="25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2"/>
    </row>
    <row r="10" spans="1:29" ht="18" x14ac:dyDescent="0.25">
      <c r="A10" s="2"/>
      <c r="B10" s="47"/>
      <c r="C10" s="48"/>
      <c r="D10" s="47"/>
      <c r="E10" s="47"/>
      <c r="F10" s="47"/>
      <c r="G10" s="256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2"/>
    </row>
    <row r="11" spans="1:29" ht="6.75" customHeight="1" x14ac:dyDescent="0.2">
      <c r="A11" s="2"/>
      <c r="B11" s="2"/>
      <c r="C11" s="45"/>
      <c r="D11" s="45"/>
      <c r="E11" s="45"/>
      <c r="F11" s="45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2"/>
      <c r="AA11" s="2"/>
      <c r="AB11" s="2"/>
      <c r="AC11" s="2"/>
    </row>
    <row r="12" spans="1:29" ht="20.25" customHeight="1" x14ac:dyDescent="0.2">
      <c r="A12" s="2"/>
      <c r="B12" s="4"/>
      <c r="C12" s="8"/>
      <c r="D12" s="8"/>
      <c r="E12" s="8"/>
      <c r="F12" s="8"/>
      <c r="G12" s="8"/>
      <c r="H12" s="8"/>
      <c r="I12" s="277"/>
      <c r="J12" s="277"/>
      <c r="K12" s="277"/>
      <c r="L12" s="27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4"/>
      <c r="Z12" s="9"/>
      <c r="AA12" s="9"/>
      <c r="AB12" s="4"/>
      <c r="AC12" s="2"/>
    </row>
    <row r="13" spans="1:29" s="1" customFormat="1" ht="51.75" customHeight="1" x14ac:dyDescent="0.2">
      <c r="A13" s="3"/>
      <c r="B13" s="4"/>
      <c r="C13" s="20" t="s">
        <v>12</v>
      </c>
      <c r="D13" s="21" t="s">
        <v>13</v>
      </c>
      <c r="E13" s="20" t="s">
        <v>80</v>
      </c>
      <c r="F13" s="20" t="str">
        <f>"30th June 2024 fee (co-payment) (incl GST @ "&amp;TEXT(PreviousGSTRate,"#0.0%")&amp;")"</f>
        <v>30th June 2024 fee (co-payment) (incl GST @ 15.0%)</v>
      </c>
      <c r="G13" s="20" t="s">
        <v>81</v>
      </c>
      <c r="H13" s="9"/>
      <c r="I13" s="278" t="s">
        <v>82</v>
      </c>
      <c r="J13" s="279"/>
      <c r="K13" s="280"/>
      <c r="L13" s="278" t="s">
        <v>83</v>
      </c>
      <c r="M13" s="279"/>
      <c r="N13" s="280"/>
      <c r="O13" s="23"/>
      <c r="P13" s="23"/>
      <c r="Q13" s="70"/>
      <c r="R13" s="9"/>
      <c r="S13" s="20" t="str">
        <f>"Proposed co-payment fee (incl GST @ " &amp; TEXT(CopaymentGSTRate,"#0.0%") &amp; ")"</f>
        <v>Proposed co-payment fee (incl GST @ 15.0%)</v>
      </c>
      <c r="T13" s="21" t="s">
        <v>84</v>
      </c>
      <c r="U13" s="21" t="s">
        <v>85</v>
      </c>
      <c r="V13" s="21" t="s">
        <v>86</v>
      </c>
      <c r="W13" s="21" t="s">
        <v>87</v>
      </c>
      <c r="X13" s="21" t="s">
        <v>88</v>
      </c>
      <c r="Y13" s="4"/>
      <c r="Z13" s="20" t="s">
        <v>89</v>
      </c>
      <c r="AA13" s="20" t="s">
        <v>90</v>
      </c>
      <c r="AB13" s="4"/>
      <c r="AC13" s="3"/>
    </row>
    <row r="14" spans="1:29" s="130" customFormat="1" ht="18" customHeight="1" x14ac:dyDescent="0.2">
      <c r="A14" s="113"/>
      <c r="B14" s="122"/>
      <c r="C14" s="232"/>
      <c r="D14" s="257"/>
      <c r="E14" s="257"/>
      <c r="F14" s="123"/>
      <c r="G14" s="124"/>
      <c r="H14" s="124"/>
      <c r="I14" s="125"/>
      <c r="J14" s="126"/>
      <c r="K14" s="127"/>
      <c r="L14" s="127"/>
      <c r="M14" s="127"/>
      <c r="N14" s="127"/>
      <c r="O14" s="127"/>
      <c r="P14" s="127"/>
      <c r="Q14" s="128"/>
      <c r="R14" s="129"/>
      <c r="S14" s="283" t="str">
        <f>IF(S15&lt;=0,"Under 6 age group won't count towards total co-payment adjustment","")</f>
        <v>Under 6 age group won't count towards total co-payment adjustment</v>
      </c>
      <c r="T14" s="283"/>
      <c r="U14" s="283"/>
      <c r="V14" s="283"/>
      <c r="W14" s="283"/>
      <c r="X14" s="283"/>
      <c r="Y14" s="283"/>
      <c r="Z14" s="283"/>
      <c r="AA14" s="283"/>
      <c r="AB14" s="122"/>
      <c r="AC14" s="113"/>
    </row>
    <row r="15" spans="1:29" s="1" customFormat="1" ht="15" customHeight="1" x14ac:dyDescent="0.2">
      <c r="A15" s="3"/>
      <c r="B15" s="4"/>
      <c r="C15" s="233" t="s">
        <v>21</v>
      </c>
      <c r="D15" s="62">
        <f>'Revenue Split'!C17</f>
        <v>0</v>
      </c>
      <c r="E15" s="108">
        <f>'Revenue Split'!D17</f>
        <v>4.8260383171719514</v>
      </c>
      <c r="F15" s="63">
        <f>'Revenue Split'!H17</f>
        <v>0</v>
      </c>
      <c r="G15" s="63">
        <f>F15/(1+PreviousGSTRate)</f>
        <v>0</v>
      </c>
      <c r="H15" s="13"/>
      <c r="I15" s="72">
        <f>(J15-1000)/10</f>
        <v>0</v>
      </c>
      <c r="J15" s="73">
        <v>1000</v>
      </c>
      <c r="K15" s="28"/>
      <c r="L15" s="111">
        <f>(M15-1000)/1000</f>
        <v>0</v>
      </c>
      <c r="M15" s="73">
        <v>1000</v>
      </c>
      <c r="N15" s="24"/>
      <c r="O15" s="25">
        <f>IF(I15&lt;&gt;0,1,0)</f>
        <v>0</v>
      </c>
      <c r="P15" s="25">
        <f>IF(L15&lt;&gt;0,1,0)</f>
        <v>0</v>
      </c>
      <c r="Q15" s="74" t="b">
        <f>IF(SUM(O15:P15)&gt;1,TRUE)</f>
        <v>0</v>
      </c>
      <c r="R15" s="8"/>
      <c r="S15" s="26">
        <f>IF(I15=0,(F15*(1+L15)),F15+I15)</f>
        <v>0</v>
      </c>
      <c r="T15" s="26">
        <f>S15/(1+CopaymentGSTRate)</f>
        <v>0</v>
      </c>
      <c r="U15" s="26">
        <v>0</v>
      </c>
      <c r="V15" s="26">
        <f>U15/E15</f>
        <v>0</v>
      </c>
      <c r="W15" s="26">
        <f>T15+V15</f>
        <v>0</v>
      </c>
      <c r="X15" s="75" t="str">
        <f>IF(G15=0,"n/a",(T15/G15-1))</f>
        <v>n/a</v>
      </c>
      <c r="Y15" s="4"/>
      <c r="Z15" s="26">
        <f>D15*E15*G15</f>
        <v>0</v>
      </c>
      <c r="AA15" s="26">
        <f>D15*E15*W15</f>
        <v>0</v>
      </c>
      <c r="AB15" s="4"/>
      <c r="AC15" s="3"/>
    </row>
    <row r="16" spans="1:29" s="1" customFormat="1" ht="18" customHeight="1" x14ac:dyDescent="0.2">
      <c r="A16" s="3"/>
      <c r="B16" s="4"/>
      <c r="C16" s="234"/>
      <c r="D16" s="251"/>
      <c r="E16" s="258"/>
      <c r="F16" s="12"/>
      <c r="G16" s="13"/>
      <c r="H16" s="13"/>
      <c r="I16" s="14"/>
      <c r="J16" s="5"/>
      <c r="K16" s="15"/>
      <c r="L16" s="15"/>
      <c r="M16" s="15"/>
      <c r="N16" s="15"/>
      <c r="O16" s="15"/>
      <c r="P16" s="15"/>
      <c r="Q16" s="71"/>
      <c r="R16" s="67"/>
      <c r="S16" s="284" t="str">
        <f>IF(S17&lt;=0,"Under 14 age group won't count towards total co-payment adjustment","")</f>
        <v>Under 14 age group won't count towards total co-payment adjustment</v>
      </c>
      <c r="T16" s="285"/>
      <c r="U16" s="285"/>
      <c r="V16" s="285"/>
      <c r="W16" s="285"/>
      <c r="X16" s="285"/>
      <c r="Y16" s="285"/>
      <c r="Z16" s="285"/>
      <c r="AA16" s="285"/>
      <c r="AB16" s="4"/>
      <c r="AC16" s="3"/>
    </row>
    <row r="17" spans="1:29" ht="15" customHeight="1" x14ac:dyDescent="0.2">
      <c r="A17" s="2"/>
      <c r="B17" s="4"/>
      <c r="C17" s="233" t="s">
        <v>22</v>
      </c>
      <c r="D17" s="62">
        <f>'Revenue Split'!C19</f>
        <v>0</v>
      </c>
      <c r="E17" s="108">
        <f>'Revenue Split'!D19</f>
        <v>2.3828250180465824</v>
      </c>
      <c r="F17" s="63">
        <f>'Revenue Split'!H19</f>
        <v>0</v>
      </c>
      <c r="G17" s="63">
        <f>F17/(1+PreviousGSTRate)</f>
        <v>0</v>
      </c>
      <c r="H17" s="13"/>
      <c r="I17" s="72">
        <f>(J17-1000)/10</f>
        <v>0</v>
      </c>
      <c r="J17" s="73">
        <v>1000</v>
      </c>
      <c r="K17" s="28"/>
      <c r="L17" s="111">
        <f>(M17-1000)/1000</f>
        <v>0</v>
      </c>
      <c r="M17" s="73">
        <v>1000</v>
      </c>
      <c r="N17" s="24"/>
      <c r="O17" s="25">
        <f>IF(I17&lt;&gt;0,1,0)</f>
        <v>0</v>
      </c>
      <c r="P17" s="25">
        <f>IF(L17&lt;&gt;0,1,0)</f>
        <v>0</v>
      </c>
      <c r="Q17" s="74" t="b">
        <f>IF(SUM(O17:P17)&gt;1,TRUE)</f>
        <v>0</v>
      </c>
      <c r="R17" s="8"/>
      <c r="S17" s="26">
        <f>IF(I17=0,(F17*(1+L17)),F17+I17)</f>
        <v>0</v>
      </c>
      <c r="T17" s="26">
        <f>S17/(1+CopaymentGSTRate)</f>
        <v>0</v>
      </c>
      <c r="U17" s="26">
        <v>0</v>
      </c>
      <c r="V17" s="26">
        <f>U17/E17</f>
        <v>0</v>
      </c>
      <c r="W17" s="26">
        <f>T17+V17</f>
        <v>0</v>
      </c>
      <c r="X17" s="75" t="str">
        <f>IF(G17=0,"n/a",(T17/G17-1))</f>
        <v>n/a</v>
      </c>
      <c r="Y17" s="4"/>
      <c r="Z17" s="26">
        <f>D17*E17*G17</f>
        <v>0</v>
      </c>
      <c r="AA17" s="26">
        <f>D17*E17*W17</f>
        <v>0</v>
      </c>
      <c r="AB17" s="4"/>
      <c r="AC17" s="2"/>
    </row>
    <row r="18" spans="1:29" ht="15" customHeight="1" x14ac:dyDescent="0.2">
      <c r="A18" s="2"/>
      <c r="B18" s="4"/>
      <c r="C18" s="234"/>
      <c r="D18" s="64"/>
      <c r="E18" s="109"/>
      <c r="F18" s="65"/>
      <c r="G18" s="92"/>
      <c r="H18" s="13"/>
      <c r="I18" s="19"/>
      <c r="J18" s="17"/>
      <c r="K18" s="15"/>
      <c r="L18" s="18"/>
      <c r="M18" s="15"/>
      <c r="N18" s="15"/>
      <c r="O18" s="15"/>
      <c r="P18" s="15"/>
      <c r="Q18" s="71"/>
      <c r="R18" s="8"/>
      <c r="S18" s="14"/>
      <c r="T18" s="14"/>
      <c r="U18" s="14"/>
      <c r="V18" s="14"/>
      <c r="W18" s="14"/>
      <c r="X18" s="14"/>
      <c r="Y18" s="4"/>
      <c r="Z18" s="76"/>
      <c r="AA18" s="76"/>
      <c r="AB18" s="4"/>
      <c r="AC18" s="2"/>
    </row>
    <row r="19" spans="1:29" ht="15" customHeight="1" x14ac:dyDescent="0.2">
      <c r="A19" s="2"/>
      <c r="B19" s="4"/>
      <c r="C19" s="235" t="s">
        <v>23</v>
      </c>
      <c r="D19" s="62">
        <f>'Revenue Split'!C21</f>
        <v>0</v>
      </c>
      <c r="E19" s="108">
        <f>'Revenue Split'!D21</f>
        <v>2.4395026526618975</v>
      </c>
      <c r="F19" s="63">
        <f>'Revenue Split'!H21</f>
        <v>0</v>
      </c>
      <c r="G19" s="63">
        <f>F19/(1+PreviousGSTRate)</f>
        <v>0</v>
      </c>
      <c r="H19" s="13"/>
      <c r="I19" s="72">
        <f>(J19-1000)/10</f>
        <v>0</v>
      </c>
      <c r="J19" s="73">
        <v>1000</v>
      </c>
      <c r="K19" s="29"/>
      <c r="L19" s="112">
        <f>(M19-1000)/1000</f>
        <v>0</v>
      </c>
      <c r="M19" s="73">
        <v>1000</v>
      </c>
      <c r="N19" s="27"/>
      <c r="O19" s="25">
        <f>IF(I19&lt;&gt;0,1,0)</f>
        <v>0</v>
      </c>
      <c r="P19" s="25">
        <f>IF(L19&lt;&gt;0,1,0)</f>
        <v>0</v>
      </c>
      <c r="Q19" s="74" t="b">
        <f>IF(SUM(O19:P19)&gt;1,TRUE)</f>
        <v>0</v>
      </c>
      <c r="R19" s="8"/>
      <c r="S19" s="26">
        <f>IF(I19=0,(F19*(1+L19)),F19+I19)</f>
        <v>0</v>
      </c>
      <c r="T19" s="26">
        <f>S19/(1+CopaymentGSTRate)</f>
        <v>0</v>
      </c>
      <c r="U19" s="26">
        <v>0</v>
      </c>
      <c r="V19" s="26">
        <f>U19/E19</f>
        <v>0</v>
      </c>
      <c r="W19" s="26">
        <f>T19+V19</f>
        <v>0</v>
      </c>
      <c r="X19" s="75" t="str">
        <f>IF(G19=0,"n/a",(T19/G19-1))</f>
        <v>n/a</v>
      </c>
      <c r="Y19" s="4"/>
      <c r="Z19" s="26">
        <f>D19*E19*G19</f>
        <v>0</v>
      </c>
      <c r="AA19" s="26">
        <f>D19*E19*W19</f>
        <v>0</v>
      </c>
      <c r="AB19" s="4"/>
      <c r="AC19" s="2"/>
    </row>
    <row r="20" spans="1:29" ht="15" customHeight="1" x14ac:dyDescent="0.2">
      <c r="A20" s="2"/>
      <c r="B20" s="4"/>
      <c r="C20" s="234"/>
      <c r="D20" s="164"/>
      <c r="E20" s="165"/>
      <c r="F20" s="65"/>
      <c r="G20" s="92"/>
      <c r="H20" s="13"/>
      <c r="I20" s="19"/>
      <c r="J20" s="17"/>
      <c r="K20" s="15"/>
      <c r="L20" s="18"/>
      <c r="M20" s="15"/>
      <c r="N20" s="15"/>
      <c r="O20" s="15"/>
      <c r="P20" s="15"/>
      <c r="Q20" s="71"/>
      <c r="R20" s="8"/>
      <c r="S20" s="14"/>
      <c r="T20" s="14"/>
      <c r="U20" s="14"/>
      <c r="V20" s="14"/>
      <c r="W20" s="14"/>
      <c r="X20" s="14"/>
      <c r="Y20" s="4"/>
      <c r="Z20" s="76"/>
      <c r="AA20" s="76"/>
      <c r="AB20" s="4"/>
      <c r="AC20" s="2"/>
    </row>
    <row r="21" spans="1:29" ht="15" customHeight="1" x14ac:dyDescent="0.2">
      <c r="A21" s="2"/>
      <c r="B21" s="4"/>
      <c r="C21" s="235" t="s">
        <v>24</v>
      </c>
      <c r="D21" s="62">
        <f>'Revenue Split'!C23</f>
        <v>0</v>
      </c>
      <c r="E21" s="108">
        <f>'Revenue Split'!D23</f>
        <v>1.97172456426655</v>
      </c>
      <c r="F21" s="63">
        <f>'Revenue Split'!H23</f>
        <v>0</v>
      </c>
      <c r="G21" s="63">
        <f>F21/(1+PreviousGSTRate)</f>
        <v>0</v>
      </c>
      <c r="H21" s="13"/>
      <c r="I21" s="225">
        <f>S21-F21</f>
        <v>0</v>
      </c>
      <c r="J21" s="226">
        <v>760</v>
      </c>
      <c r="K21" s="227"/>
      <c r="L21" s="228">
        <f>(M21-1000)/1000</f>
        <v>0</v>
      </c>
      <c r="M21" s="226">
        <f>IF(F21=0,1000,S21/F21*1000)</f>
        <v>1000</v>
      </c>
      <c r="N21" s="229"/>
      <c r="O21" s="25">
        <f>IF(I21&lt;&gt;0,1,0)</f>
        <v>0</v>
      </c>
      <c r="P21" s="25">
        <f>IF(L21&lt;&gt;0,1,0)</f>
        <v>0</v>
      </c>
      <c r="Q21" s="74" t="b">
        <f>FALSE</f>
        <v>0</v>
      </c>
      <c r="R21" s="8"/>
      <c r="S21" s="26">
        <f>MIN(F21,MaxCSCFee_Youth)</f>
        <v>0</v>
      </c>
      <c r="T21" s="26">
        <f>S21/(1+CopaymentGSTRate)</f>
        <v>0</v>
      </c>
      <c r="U21" s="26">
        <f>Parameters!E13</f>
        <v>51.887597525844605</v>
      </c>
      <c r="V21" s="26">
        <f>U21/E21</f>
        <v>26.315844751442736</v>
      </c>
      <c r="W21" s="26">
        <f>T21+V21</f>
        <v>26.315844751442736</v>
      </c>
      <c r="X21" s="75" t="str">
        <f>IF(G21=0,"n/a",(T21/G21-1))</f>
        <v>n/a</v>
      </c>
      <c r="Y21" s="4"/>
      <c r="Z21" s="26">
        <f>D21*E21*G21</f>
        <v>0</v>
      </c>
      <c r="AA21" s="26">
        <f>D21*E21*W21</f>
        <v>0</v>
      </c>
      <c r="AB21" s="4"/>
      <c r="AC21" s="2"/>
    </row>
    <row r="22" spans="1:29" ht="15" customHeight="1" x14ac:dyDescent="0.2">
      <c r="A22" s="2"/>
      <c r="B22" s="4"/>
      <c r="C22" s="234"/>
      <c r="D22" s="64"/>
      <c r="E22" s="109"/>
      <c r="F22" s="65"/>
      <c r="G22" s="92"/>
      <c r="H22" s="13"/>
      <c r="I22" s="19"/>
      <c r="J22" s="17"/>
      <c r="K22" s="15"/>
      <c r="L22" s="18"/>
      <c r="M22" s="15"/>
      <c r="N22" s="15"/>
      <c r="O22" s="15"/>
      <c r="P22" s="15"/>
      <c r="Q22" s="71"/>
      <c r="R22" s="8"/>
      <c r="S22" s="14"/>
      <c r="T22" s="14"/>
      <c r="U22" s="14"/>
      <c r="V22" s="14"/>
      <c r="W22" s="14"/>
      <c r="X22" s="16"/>
      <c r="Y22" s="4"/>
      <c r="Z22" s="76"/>
      <c r="AA22" s="76"/>
      <c r="AB22" s="4"/>
      <c r="AC22" s="2"/>
    </row>
    <row r="23" spans="1:29" ht="15" customHeight="1" x14ac:dyDescent="0.2">
      <c r="A23" s="2"/>
      <c r="B23" s="4"/>
      <c r="C23" s="235" t="s">
        <v>25</v>
      </c>
      <c r="D23" s="62">
        <f>'Revenue Split'!C25</f>
        <v>0</v>
      </c>
      <c r="E23" s="108">
        <f>'Revenue Split'!D25</f>
        <v>3.0803720898157572</v>
      </c>
      <c r="F23" s="63">
        <f>'Revenue Split'!H25</f>
        <v>0</v>
      </c>
      <c r="G23" s="63">
        <f>F23/(1+PreviousGSTRate)</f>
        <v>0</v>
      </c>
      <c r="H23" s="13"/>
      <c r="I23" s="72">
        <f>(J23-1000)/10</f>
        <v>0</v>
      </c>
      <c r="J23" s="73">
        <v>1000</v>
      </c>
      <c r="K23" s="28"/>
      <c r="L23" s="111">
        <f>(M23-1000)/1000</f>
        <v>0</v>
      </c>
      <c r="M23" s="73">
        <v>1000</v>
      </c>
      <c r="N23" s="24"/>
      <c r="O23" s="25">
        <f>IF(I23&lt;&gt;0,1,0)</f>
        <v>0</v>
      </c>
      <c r="P23" s="25">
        <f>IF(L23&lt;&gt;0,1,0)</f>
        <v>0</v>
      </c>
      <c r="Q23" s="74" t="b">
        <f>IF(SUM(O23:P23)&gt;1,TRUE)</f>
        <v>0</v>
      </c>
      <c r="R23" s="8"/>
      <c r="S23" s="26">
        <f>IF(I23=0,(F23*(1+L23)),F23+I23)</f>
        <v>0</v>
      </c>
      <c r="T23" s="26">
        <f>S23/(1+CopaymentGSTRate)</f>
        <v>0</v>
      </c>
      <c r="U23" s="26">
        <v>0</v>
      </c>
      <c r="V23" s="26">
        <f>U23/E23</f>
        <v>0</v>
      </c>
      <c r="W23" s="26">
        <f>T23+V23</f>
        <v>0</v>
      </c>
      <c r="X23" s="75" t="str">
        <f>IF(G23=0,"n/a",(T23/G23-1))</f>
        <v>n/a</v>
      </c>
      <c r="Y23" s="4"/>
      <c r="Z23" s="26">
        <f>D23*E23*G23</f>
        <v>0</v>
      </c>
      <c r="AA23" s="26">
        <f>D23*E23*W23</f>
        <v>0</v>
      </c>
      <c r="AB23" s="4"/>
      <c r="AC23" s="2"/>
    </row>
    <row r="24" spans="1:29" ht="15" customHeight="1" x14ac:dyDescent="0.2">
      <c r="A24" s="2"/>
      <c r="B24" s="4"/>
      <c r="C24" s="234"/>
      <c r="D24" s="164"/>
      <c r="E24" s="165"/>
      <c r="F24" s="65"/>
      <c r="G24" s="92"/>
      <c r="H24" s="13"/>
      <c r="I24" s="19"/>
      <c r="J24" s="17"/>
      <c r="K24" s="15"/>
      <c r="L24" s="18"/>
      <c r="M24" s="15"/>
      <c r="N24" s="15"/>
      <c r="O24" s="15"/>
      <c r="P24" s="15"/>
      <c r="Q24" s="71"/>
      <c r="R24" s="8"/>
      <c r="S24" s="14"/>
      <c r="T24" s="14"/>
      <c r="U24" s="14"/>
      <c r="V24" s="14"/>
      <c r="W24" s="14"/>
      <c r="X24" s="16"/>
      <c r="Y24" s="4"/>
      <c r="Z24" s="76"/>
      <c r="AA24" s="76"/>
      <c r="AB24" s="4"/>
      <c r="AC24" s="2"/>
    </row>
    <row r="25" spans="1:29" ht="15" customHeight="1" x14ac:dyDescent="0.2">
      <c r="A25" s="2"/>
      <c r="B25" s="4"/>
      <c r="C25" s="235" t="s">
        <v>26</v>
      </c>
      <c r="D25" s="62">
        <f>'Revenue Split'!C27</f>
        <v>0</v>
      </c>
      <c r="E25" s="108">
        <f>'Revenue Split'!D27</f>
        <v>1.9717245642665497</v>
      </c>
      <c r="F25" s="63">
        <f>'Revenue Split'!H27</f>
        <v>0</v>
      </c>
      <c r="G25" s="63">
        <f>F25/(1+PreviousGSTRate)</f>
        <v>0</v>
      </c>
      <c r="H25" s="13"/>
      <c r="I25" s="225">
        <f>S25-F25</f>
        <v>0</v>
      </c>
      <c r="J25" s="226">
        <v>641</v>
      </c>
      <c r="K25" s="227"/>
      <c r="L25" s="228">
        <f>(M25-1000)/1000</f>
        <v>0</v>
      </c>
      <c r="M25" s="226">
        <f>IF(F25=0,1000,S25/F25*1000)</f>
        <v>1000</v>
      </c>
      <c r="N25" s="229"/>
      <c r="O25" s="25">
        <f>IF(I25&lt;&gt;0,1,0)</f>
        <v>0</v>
      </c>
      <c r="P25" s="25">
        <f>IF(L25&lt;&gt;0,1,0)</f>
        <v>0</v>
      </c>
      <c r="Q25" s="74" t="b">
        <f>FALSE</f>
        <v>0</v>
      </c>
      <c r="R25" s="8"/>
      <c r="S25" s="26">
        <f>MIN(F25,MaxCSCFee_Adult)</f>
        <v>0</v>
      </c>
      <c r="T25" s="26">
        <f>S25/(1+CopaymentGSTRate)</f>
        <v>0</v>
      </c>
      <c r="U25" s="26">
        <f>Parameters!E14</f>
        <v>71.760180053907348</v>
      </c>
      <c r="V25" s="26">
        <f>U25/E25</f>
        <v>36.394626995277605</v>
      </c>
      <c r="W25" s="26">
        <f>T25+V25</f>
        <v>36.394626995277605</v>
      </c>
      <c r="X25" s="75" t="str">
        <f>IF(G25=0,"n/a",(T25/G25-1))</f>
        <v>n/a</v>
      </c>
      <c r="Y25" s="4"/>
      <c r="Z25" s="26">
        <f>D25*E25*G25</f>
        <v>0</v>
      </c>
      <c r="AA25" s="26">
        <f>D25*E25*W25</f>
        <v>0</v>
      </c>
      <c r="AB25" s="4"/>
      <c r="AC25" s="2"/>
    </row>
    <row r="26" spans="1:29" ht="15" customHeight="1" x14ac:dyDescent="0.2">
      <c r="A26" s="2"/>
      <c r="B26" s="4"/>
      <c r="C26" s="234"/>
      <c r="D26" s="64"/>
      <c r="E26" s="109"/>
      <c r="F26" s="65"/>
      <c r="G26" s="92"/>
      <c r="H26" s="13"/>
      <c r="I26" s="19"/>
      <c r="J26" s="17"/>
      <c r="K26" s="15"/>
      <c r="L26" s="18"/>
      <c r="M26" s="15"/>
      <c r="N26" s="15"/>
      <c r="O26" s="15"/>
      <c r="P26" s="15"/>
      <c r="Q26" s="71"/>
      <c r="R26" s="8"/>
      <c r="S26" s="14"/>
      <c r="T26" s="14"/>
      <c r="U26" s="14"/>
      <c r="V26" s="14"/>
      <c r="W26" s="14"/>
      <c r="X26" s="16"/>
      <c r="Y26" s="4"/>
      <c r="Z26" s="76"/>
      <c r="AA26" s="76"/>
      <c r="AB26" s="4"/>
      <c r="AC26" s="2"/>
    </row>
    <row r="27" spans="1:29" ht="15" customHeight="1" x14ac:dyDescent="0.2">
      <c r="A27" s="2"/>
      <c r="B27" s="4"/>
      <c r="C27" s="235" t="s">
        <v>27</v>
      </c>
      <c r="D27" s="62">
        <f>'Revenue Split'!C29</f>
        <v>0</v>
      </c>
      <c r="E27" s="108">
        <f>'Revenue Split'!D29</f>
        <v>3.2787820953842139</v>
      </c>
      <c r="F27" s="63">
        <f>'Revenue Split'!H29</f>
        <v>0</v>
      </c>
      <c r="G27" s="63">
        <f>F27/(1+PreviousGSTRate)</f>
        <v>0</v>
      </c>
      <c r="H27" s="13"/>
      <c r="I27" s="72">
        <f>(J27-1000)/10</f>
        <v>0</v>
      </c>
      <c r="J27" s="73">
        <v>1000</v>
      </c>
      <c r="K27" s="28"/>
      <c r="L27" s="111">
        <f>(M27-1000)/1000</f>
        <v>0</v>
      </c>
      <c r="M27" s="73">
        <v>1000</v>
      </c>
      <c r="N27" s="24"/>
      <c r="O27" s="25">
        <f>IF(I27&lt;&gt;0,1,0)</f>
        <v>0</v>
      </c>
      <c r="P27" s="25">
        <f>IF(L27&lt;&gt;0,1,0)</f>
        <v>0</v>
      </c>
      <c r="Q27" s="74" t="b">
        <f>IF(SUM(O27:P27)&gt;1,TRUE)</f>
        <v>0</v>
      </c>
      <c r="R27" s="8"/>
      <c r="S27" s="26">
        <f>IF(I27=0,(F27*(1+L27)),F27+I27)</f>
        <v>0</v>
      </c>
      <c r="T27" s="26">
        <f>S27/(1+CopaymentGSTRate)</f>
        <v>0</v>
      </c>
      <c r="U27" s="26">
        <v>0</v>
      </c>
      <c r="V27" s="26">
        <f>U27/E27</f>
        <v>0</v>
      </c>
      <c r="W27" s="26">
        <f>T27+V27</f>
        <v>0</v>
      </c>
      <c r="X27" s="75" t="str">
        <f>IF(G27=0,"n/a",(T27/G27-1))</f>
        <v>n/a</v>
      </c>
      <c r="Y27" s="4"/>
      <c r="Z27" s="26">
        <f>D27*E27*G27</f>
        <v>0</v>
      </c>
      <c r="AA27" s="26">
        <f>D27*E27*W27</f>
        <v>0</v>
      </c>
      <c r="AB27" s="4"/>
      <c r="AC27" s="2"/>
    </row>
    <row r="28" spans="1:29" ht="15" customHeight="1" x14ac:dyDescent="0.2">
      <c r="A28" s="2"/>
      <c r="B28" s="4"/>
      <c r="C28" s="234"/>
      <c r="D28" s="164"/>
      <c r="E28" s="165"/>
      <c r="F28" s="65"/>
      <c r="G28" s="92"/>
      <c r="H28" s="13"/>
      <c r="I28" s="19"/>
      <c r="J28" s="17"/>
      <c r="K28" s="15"/>
      <c r="L28" s="18"/>
      <c r="M28" s="15"/>
      <c r="N28" s="15"/>
      <c r="O28" s="15"/>
      <c r="P28" s="15"/>
      <c r="Q28" s="71"/>
      <c r="R28" s="8"/>
      <c r="S28" s="14"/>
      <c r="T28" s="14"/>
      <c r="U28" s="14"/>
      <c r="V28" s="14"/>
      <c r="W28" s="14"/>
      <c r="X28" s="16"/>
      <c r="Y28" s="4"/>
      <c r="Z28" s="76"/>
      <c r="AA28" s="76"/>
      <c r="AB28" s="4"/>
      <c r="AC28" s="2"/>
    </row>
    <row r="29" spans="1:29" ht="15" customHeight="1" x14ac:dyDescent="0.2">
      <c r="A29" s="2"/>
      <c r="B29" s="4"/>
      <c r="C29" s="235" t="s">
        <v>28</v>
      </c>
      <c r="D29" s="62">
        <f>'Revenue Split'!C31</f>
        <v>0</v>
      </c>
      <c r="E29" s="108">
        <f>'Revenue Split'!D31</f>
        <v>2.9608939969665684</v>
      </c>
      <c r="F29" s="63">
        <f>'Revenue Split'!H31</f>
        <v>0</v>
      </c>
      <c r="G29" s="63">
        <f>F29/(1+PreviousGSTRate)</f>
        <v>0</v>
      </c>
      <c r="H29" s="13"/>
      <c r="I29" s="225">
        <f>S29-F29</f>
        <v>0</v>
      </c>
      <c r="J29" s="226">
        <v>641</v>
      </c>
      <c r="K29" s="227"/>
      <c r="L29" s="228">
        <f>(M29-1000)/1000</f>
        <v>0</v>
      </c>
      <c r="M29" s="226">
        <f>IF(F29=0,1000,S29/F29*1000)</f>
        <v>1000</v>
      </c>
      <c r="N29" s="229"/>
      <c r="O29" s="25">
        <f>IF(I29&lt;&gt;0,1,0)</f>
        <v>0</v>
      </c>
      <c r="P29" s="25">
        <f>IF(L29&lt;&gt;0,1,0)</f>
        <v>0</v>
      </c>
      <c r="Q29" s="74" t="b">
        <f>FALSE</f>
        <v>0</v>
      </c>
      <c r="R29" s="8"/>
      <c r="S29" s="26">
        <f>MIN(F29,MaxCSCFee_Adult)</f>
        <v>0</v>
      </c>
      <c r="T29" s="26">
        <f>S29/(1+CopaymentGSTRate)</f>
        <v>0</v>
      </c>
      <c r="U29" s="26">
        <f>Parameters!E15</f>
        <v>124.29775414699418</v>
      </c>
      <c r="V29" s="26">
        <f>U29/E29</f>
        <v>41.979805516285637</v>
      </c>
      <c r="W29" s="26">
        <f>T29+V29</f>
        <v>41.979805516285637</v>
      </c>
      <c r="X29" s="75" t="str">
        <f>IF(G29=0,"n/a",(T29/G29-1))</f>
        <v>n/a</v>
      </c>
      <c r="Y29" s="4"/>
      <c r="Z29" s="26">
        <f>D29*E29*G29</f>
        <v>0</v>
      </c>
      <c r="AA29" s="26">
        <f>D29*E29*W29</f>
        <v>0</v>
      </c>
      <c r="AB29" s="4"/>
      <c r="AC29" s="2"/>
    </row>
    <row r="30" spans="1:29" ht="15" customHeight="1" x14ac:dyDescent="0.2">
      <c r="A30" s="2"/>
      <c r="B30" s="4"/>
      <c r="C30" s="234"/>
      <c r="D30" s="64"/>
      <c r="E30" s="109"/>
      <c r="F30" s="65"/>
      <c r="G30" s="92"/>
      <c r="H30" s="13"/>
      <c r="I30" s="19"/>
      <c r="J30" s="17"/>
      <c r="K30" s="15"/>
      <c r="L30" s="18"/>
      <c r="M30" s="15"/>
      <c r="N30" s="15"/>
      <c r="O30" s="15"/>
      <c r="P30" s="15"/>
      <c r="Q30" s="71"/>
      <c r="R30" s="8"/>
      <c r="S30" s="14"/>
      <c r="T30" s="14"/>
      <c r="U30" s="14"/>
      <c r="V30" s="14"/>
      <c r="W30" s="14"/>
      <c r="X30" s="16"/>
      <c r="Y30" s="4"/>
      <c r="Z30" s="76"/>
      <c r="AA30" s="76"/>
      <c r="AB30" s="4"/>
      <c r="AC30" s="2"/>
    </row>
    <row r="31" spans="1:29" ht="15" customHeight="1" x14ac:dyDescent="0.2">
      <c r="A31" s="2"/>
      <c r="B31" s="4"/>
      <c r="C31" s="235" t="s">
        <v>29</v>
      </c>
      <c r="D31" s="62">
        <f>'Revenue Split'!C33</f>
        <v>0</v>
      </c>
      <c r="E31" s="108">
        <f>'Revenue Split'!D33</f>
        <v>4.053726384726585</v>
      </c>
      <c r="F31" s="63">
        <f>'Revenue Split'!H33</f>
        <v>0</v>
      </c>
      <c r="G31" s="63">
        <f>F31/(1+PreviousGSTRate)</f>
        <v>0</v>
      </c>
      <c r="H31" s="13"/>
      <c r="I31" s="72">
        <f>(J31-1000)/10</f>
        <v>0</v>
      </c>
      <c r="J31" s="73">
        <v>1000</v>
      </c>
      <c r="K31" s="28"/>
      <c r="L31" s="111">
        <f>(M31-1000)/1000</f>
        <v>0</v>
      </c>
      <c r="M31" s="73">
        <v>1000</v>
      </c>
      <c r="N31" s="24"/>
      <c r="O31" s="25">
        <f>IF(I31&lt;&gt;0,1,0)</f>
        <v>0</v>
      </c>
      <c r="P31" s="25">
        <f>IF(L31&lt;&gt;0,1,0)</f>
        <v>0</v>
      </c>
      <c r="Q31" s="74" t="b">
        <f>IF(SUM(O31:P31)&gt;1,TRUE)</f>
        <v>0</v>
      </c>
      <c r="R31" s="8"/>
      <c r="S31" s="26">
        <f>IF(I31=0,(F31*(1+L31)),F31+I31)</f>
        <v>0</v>
      </c>
      <c r="T31" s="26">
        <f>S31/(1+CopaymentGSTRate)</f>
        <v>0</v>
      </c>
      <c r="U31" s="26">
        <v>0</v>
      </c>
      <c r="V31" s="26">
        <f>U31/E31</f>
        <v>0</v>
      </c>
      <c r="W31" s="26">
        <f>T31+V31</f>
        <v>0</v>
      </c>
      <c r="X31" s="75" t="str">
        <f>IF(G31=0,"n/a",(T31/G31-1))</f>
        <v>n/a</v>
      </c>
      <c r="Y31" s="4"/>
      <c r="Z31" s="26">
        <f>D31*E31*G31</f>
        <v>0</v>
      </c>
      <c r="AA31" s="26">
        <f>D31*E31*W31</f>
        <v>0</v>
      </c>
      <c r="AB31" s="4"/>
      <c r="AC31" s="2"/>
    </row>
    <row r="32" spans="1:29" ht="15" customHeight="1" x14ac:dyDescent="0.2">
      <c r="A32" s="2"/>
      <c r="B32" s="4"/>
      <c r="C32" s="234"/>
      <c r="D32" s="164"/>
      <c r="E32" s="165"/>
      <c r="F32" s="65"/>
      <c r="G32" s="92"/>
      <c r="H32" s="13"/>
      <c r="I32" s="19"/>
      <c r="J32" s="17"/>
      <c r="K32" s="15"/>
      <c r="L32" s="18"/>
      <c r="M32" s="15"/>
      <c r="N32" s="15"/>
      <c r="O32" s="15"/>
      <c r="P32" s="15"/>
      <c r="Q32" s="71"/>
      <c r="R32" s="8"/>
      <c r="S32" s="14"/>
      <c r="T32" s="14"/>
      <c r="U32" s="14"/>
      <c r="V32" s="14"/>
      <c r="W32" s="14"/>
      <c r="X32" s="16"/>
      <c r="Y32" s="4"/>
      <c r="Z32" s="76"/>
      <c r="AA32" s="76"/>
      <c r="AB32" s="4"/>
      <c r="AC32" s="2"/>
    </row>
    <row r="33" spans="1:29" ht="15" customHeight="1" x14ac:dyDescent="0.2">
      <c r="A33" s="2"/>
      <c r="B33" s="4"/>
      <c r="C33" s="235" t="s">
        <v>30</v>
      </c>
      <c r="D33" s="62">
        <f>'Revenue Split'!C35</f>
        <v>0</v>
      </c>
      <c r="E33" s="108">
        <f>'Revenue Split'!D35</f>
        <v>4.6315624200217229</v>
      </c>
      <c r="F33" s="63">
        <f>'Revenue Split'!H35</f>
        <v>0</v>
      </c>
      <c r="G33" s="63">
        <f>F33/(1+PreviousGSTRate)</f>
        <v>0</v>
      </c>
      <c r="H33" s="13"/>
      <c r="I33" s="225">
        <f>S33-F33</f>
        <v>0</v>
      </c>
      <c r="J33" s="226">
        <v>641</v>
      </c>
      <c r="K33" s="227"/>
      <c r="L33" s="228">
        <f>(M33-1000)/1000</f>
        <v>0</v>
      </c>
      <c r="M33" s="226">
        <f>IF(F33=0,1000,S33/F33*1000)</f>
        <v>1000</v>
      </c>
      <c r="N33" s="229"/>
      <c r="O33" s="25">
        <f>IF(I33&lt;&gt;0,1,0)</f>
        <v>0</v>
      </c>
      <c r="P33" s="25">
        <f>IF(L33&lt;&gt;0,1,0)</f>
        <v>0</v>
      </c>
      <c r="Q33" s="74" t="b">
        <f>FALSE</f>
        <v>0</v>
      </c>
      <c r="R33" s="8"/>
      <c r="S33" s="26">
        <f>MIN(F33,MaxCSCFee_Adult)</f>
        <v>0</v>
      </c>
      <c r="T33" s="26">
        <f>S33/(1+CopaymentGSTRate)</f>
        <v>0</v>
      </c>
      <c r="U33" s="26">
        <f>Parameters!E16</f>
        <v>240.64238412471565</v>
      </c>
      <c r="V33" s="26">
        <f>U33/E33</f>
        <v>51.957063794378698</v>
      </c>
      <c r="W33" s="26">
        <f>T33+V33</f>
        <v>51.957063794378698</v>
      </c>
      <c r="X33" s="75" t="str">
        <f>IF(G33=0,"n/a",(T33/G33-1))</f>
        <v>n/a</v>
      </c>
      <c r="Y33" s="4"/>
      <c r="Z33" s="26">
        <f>D33*E33*G33</f>
        <v>0</v>
      </c>
      <c r="AA33" s="26">
        <f>D33*E33*W33</f>
        <v>0</v>
      </c>
      <c r="AB33" s="4"/>
      <c r="AC33" s="2"/>
    </row>
    <row r="34" spans="1:29" ht="15" customHeight="1" x14ac:dyDescent="0.2">
      <c r="A34" s="2"/>
      <c r="B34" s="4"/>
      <c r="C34" s="234"/>
      <c r="D34" s="64"/>
      <c r="E34" s="109"/>
      <c r="F34" s="65"/>
      <c r="G34" s="92"/>
      <c r="H34" s="13"/>
      <c r="I34" s="19"/>
      <c r="J34" s="17"/>
      <c r="K34" s="15"/>
      <c r="L34" s="18"/>
      <c r="M34" s="15"/>
      <c r="N34" s="15"/>
      <c r="O34" s="15"/>
      <c r="P34" s="15"/>
      <c r="Q34" s="71"/>
      <c r="R34" s="8"/>
      <c r="S34" s="14"/>
      <c r="T34" s="14"/>
      <c r="U34" s="14"/>
      <c r="V34" s="14"/>
      <c r="W34" s="14"/>
      <c r="X34" s="16"/>
      <c r="Y34" s="4"/>
      <c r="Z34" s="76"/>
      <c r="AA34" s="76"/>
      <c r="AB34" s="4"/>
      <c r="AC34" s="2"/>
    </row>
    <row r="35" spans="1:29" ht="15" customHeight="1" x14ac:dyDescent="0.2">
      <c r="A35" s="2"/>
      <c r="B35" s="4"/>
      <c r="C35" s="235" t="s">
        <v>31</v>
      </c>
      <c r="D35" s="62">
        <f>'Revenue Split'!C37</f>
        <v>0</v>
      </c>
      <c r="E35" s="108">
        <f>'Revenue Split'!D37</f>
        <v>5.8190335568195701</v>
      </c>
      <c r="F35" s="63">
        <f>'Revenue Split'!H37</f>
        <v>0</v>
      </c>
      <c r="G35" s="63">
        <f>F35/(1+PreviousGSTRate)</f>
        <v>0</v>
      </c>
      <c r="H35" s="13"/>
      <c r="I35" s="72">
        <f>(J35-1000)/10</f>
        <v>0</v>
      </c>
      <c r="J35" s="73">
        <v>1000</v>
      </c>
      <c r="K35" s="28"/>
      <c r="L35" s="111">
        <f>(M35-1000)/1000</f>
        <v>0</v>
      </c>
      <c r="M35" s="73">
        <v>1000</v>
      </c>
      <c r="N35" s="24"/>
      <c r="O35" s="25">
        <f>IF(I35&lt;&gt;0,1,0)</f>
        <v>0</v>
      </c>
      <c r="P35" s="25">
        <f>IF(L35&lt;&gt;0,1,0)</f>
        <v>0</v>
      </c>
      <c r="Q35" s="74" t="b">
        <f>IF(SUM(O35:P35)&gt;1,TRUE)</f>
        <v>0</v>
      </c>
      <c r="R35" s="8"/>
      <c r="S35" s="26">
        <f>IF(I35=0,(F35*(1+L35)),F35+I35)</f>
        <v>0</v>
      </c>
      <c r="T35" s="26">
        <f>S35/(1+CopaymentGSTRate)</f>
        <v>0</v>
      </c>
      <c r="U35" s="26">
        <v>0</v>
      </c>
      <c r="V35" s="26">
        <f>U35/E35</f>
        <v>0</v>
      </c>
      <c r="W35" s="26">
        <f>T35+V35</f>
        <v>0</v>
      </c>
      <c r="X35" s="75" t="str">
        <f>IF(G35=0,"n/a",(T35/G35-1))</f>
        <v>n/a</v>
      </c>
      <c r="Y35" s="4"/>
      <c r="Z35" s="26">
        <f>D35*E35*G35</f>
        <v>0</v>
      </c>
      <c r="AA35" s="26">
        <f>D35*E35*W35</f>
        <v>0</v>
      </c>
      <c r="AB35" s="4"/>
      <c r="AC35" s="2"/>
    </row>
    <row r="36" spans="1:29" ht="15" customHeight="1" x14ac:dyDescent="0.2">
      <c r="A36" s="2"/>
      <c r="B36" s="4"/>
      <c r="C36" s="234"/>
      <c r="D36" s="164"/>
      <c r="E36" s="165"/>
      <c r="F36" s="65"/>
      <c r="G36" s="92"/>
      <c r="H36" s="13"/>
      <c r="I36" s="19"/>
      <c r="J36" s="17"/>
      <c r="K36" s="15"/>
      <c r="L36" s="18"/>
      <c r="M36" s="15"/>
      <c r="N36" s="15"/>
      <c r="O36" s="15"/>
      <c r="P36" s="15"/>
      <c r="Q36" s="71"/>
      <c r="R36" s="8"/>
      <c r="S36" s="14"/>
      <c r="T36" s="14"/>
      <c r="U36" s="14"/>
      <c r="V36" s="14"/>
      <c r="W36" s="14"/>
      <c r="X36" s="16"/>
      <c r="Y36" s="4"/>
      <c r="Z36" s="76"/>
      <c r="AA36" s="76"/>
      <c r="AB36" s="4"/>
      <c r="AC36" s="2"/>
    </row>
    <row r="37" spans="1:29" ht="15" customHeight="1" x14ac:dyDescent="0.2">
      <c r="A37" s="2"/>
      <c r="B37" s="4"/>
      <c r="C37" s="235" t="s">
        <v>32</v>
      </c>
      <c r="D37" s="62">
        <f>'Revenue Split'!C39</f>
        <v>0</v>
      </c>
      <c r="E37" s="108">
        <f>'Revenue Split'!D39</f>
        <v>6.5147183462456448</v>
      </c>
      <c r="F37" s="63">
        <f>'Revenue Split'!H39</f>
        <v>0</v>
      </c>
      <c r="G37" s="63">
        <f>F37/(1+PreviousGSTRate)</f>
        <v>0</v>
      </c>
      <c r="H37" s="13"/>
      <c r="I37" s="225">
        <f>S37-F37</f>
        <v>0</v>
      </c>
      <c r="J37" s="226">
        <v>641</v>
      </c>
      <c r="K37" s="227"/>
      <c r="L37" s="228">
        <f>(M37-1000)/1000</f>
        <v>0</v>
      </c>
      <c r="M37" s="226">
        <f>IF(F37=0,1000,S37/F37*1000)</f>
        <v>1000</v>
      </c>
      <c r="N37" s="229"/>
      <c r="O37" s="25">
        <f>IF(I37&lt;&gt;0,1,0)</f>
        <v>0</v>
      </c>
      <c r="P37" s="25">
        <f>IF(L37&lt;&gt;0,1,0)</f>
        <v>0</v>
      </c>
      <c r="Q37" s="74" t="b">
        <f>FALSE</f>
        <v>0</v>
      </c>
      <c r="R37" s="8"/>
      <c r="S37" s="26">
        <f>MIN(F37,MaxCSCFee_Adult)</f>
        <v>0</v>
      </c>
      <c r="T37" s="26">
        <f>S37/(1+CopaymentGSTRate)</f>
        <v>0</v>
      </c>
      <c r="U37" s="26">
        <f>Parameters!E17</f>
        <v>322.89636076464552</v>
      </c>
      <c r="V37" s="26">
        <f>U37/E37</f>
        <v>49.564132108754457</v>
      </c>
      <c r="W37" s="26">
        <f>T37+V37</f>
        <v>49.564132108754457</v>
      </c>
      <c r="X37" s="75" t="str">
        <f>IF(G37=0,"n/a",(T37/G37-1))</f>
        <v>n/a</v>
      </c>
      <c r="Y37" s="4"/>
      <c r="Z37" s="26">
        <f>D37*E37*G37</f>
        <v>0</v>
      </c>
      <c r="AA37" s="26">
        <f>D37*E37*W37</f>
        <v>0</v>
      </c>
      <c r="AB37" s="4"/>
      <c r="AC37" s="2"/>
    </row>
    <row r="38" spans="1:29" ht="15" customHeight="1" x14ac:dyDescent="0.2">
      <c r="A38" s="2"/>
      <c r="B38" s="4"/>
      <c r="C38" s="10"/>
      <c r="D38" s="77"/>
      <c r="E38" s="77"/>
      <c r="F38" s="78"/>
      <c r="G38" s="78"/>
      <c r="H38" s="13"/>
      <c r="I38" s="281" t="str">
        <f>IF(OR(Q15,Q17, Q19, Q21,Q23, Q25, Q27, Q29, Q31, Q33, Q35, Q37),"You can change the co-payment by % OR $ but not both","")</f>
        <v/>
      </c>
      <c r="J38" s="281"/>
      <c r="K38" s="281"/>
      <c r="L38" s="281"/>
      <c r="M38" s="281"/>
      <c r="N38" s="281"/>
      <c r="O38" s="145"/>
      <c r="P38" s="145"/>
      <c r="Q38" s="145"/>
      <c r="R38" s="79"/>
      <c r="S38" s="131" t="str">
        <f>IF(OR(S15&lt;0,S17&lt;0,S19&lt;0,S21&lt;0,S23&lt;0, S25&lt;0,S27&lt;0,S29&lt;0,S31&lt;0,S33&lt;0,S35&lt;0,S37&lt;0),"Fees must be greater than zero","")</f>
        <v/>
      </c>
      <c r="T38" s="131"/>
      <c r="U38" s="131"/>
      <c r="V38" s="131"/>
      <c r="W38" s="131"/>
      <c r="X38" s="132"/>
      <c r="Y38" s="133"/>
      <c r="Z38" s="134"/>
      <c r="AA38" s="134"/>
      <c r="AB38" s="4"/>
      <c r="AC38" s="2"/>
    </row>
    <row r="39" spans="1:29" ht="20.100000000000001" customHeight="1" x14ac:dyDescent="0.2">
      <c r="A39" s="2"/>
      <c r="B39" s="4"/>
      <c r="C39" s="10"/>
      <c r="D39" s="77"/>
      <c r="E39" s="77"/>
      <c r="F39" s="94"/>
      <c r="G39" s="4"/>
      <c r="H39" s="13"/>
      <c r="I39" s="282"/>
      <c r="J39" s="282"/>
      <c r="K39" s="282"/>
      <c r="L39" s="282"/>
      <c r="M39" s="282"/>
      <c r="N39" s="282"/>
      <c r="O39" s="145"/>
      <c r="P39" s="145"/>
      <c r="Q39" s="145"/>
      <c r="R39" s="80"/>
      <c r="S39" s="135"/>
      <c r="T39" s="135"/>
      <c r="U39" s="135"/>
      <c r="V39" s="135"/>
      <c r="W39" s="135"/>
      <c r="X39" s="136"/>
      <c r="Y39" s="133"/>
      <c r="Z39" s="19" t="s">
        <v>91</v>
      </c>
      <c r="AA39" s="19" t="s">
        <v>92</v>
      </c>
      <c r="AB39" s="4"/>
      <c r="AC39" s="2"/>
    </row>
    <row r="40" spans="1:29" ht="20.100000000000001" customHeight="1" x14ac:dyDescent="0.2">
      <c r="A40" s="2"/>
      <c r="B40" s="81"/>
      <c r="C40" s="4"/>
      <c r="D40" s="4"/>
      <c r="E40" s="4"/>
      <c r="F40" s="94"/>
      <c r="G40" s="4"/>
      <c r="H40" s="4"/>
      <c r="I40" s="4"/>
      <c r="J40" s="19"/>
      <c r="K40" s="4"/>
      <c r="L40" s="4"/>
      <c r="M40" s="4"/>
      <c r="N40" s="4"/>
      <c r="O40" s="4"/>
      <c r="P40" s="4"/>
      <c r="Q40" s="4"/>
      <c r="R40" s="4"/>
      <c r="S40" s="148" t="s">
        <v>93</v>
      </c>
      <c r="T40" s="144"/>
      <c r="U40" s="144"/>
      <c r="V40" s="144"/>
      <c r="W40" s="144"/>
      <c r="X40" s="146"/>
      <c r="Y40" s="137"/>
      <c r="Z40" s="156">
        <f>SUM(Z15,Z17,Z19,Z21,Z23,Z25,Z27,Z29,Z31,Z33,Z35,Z37)</f>
        <v>0</v>
      </c>
      <c r="AA40" s="156">
        <f>SUM(AA15,AA17,AA19,AA21,AA23,AA25,AA27,AA29,AA31,AA33,AA35,AA37)</f>
        <v>0</v>
      </c>
      <c r="AB40" s="259" t="e">
        <f>AA40/Z40-1</f>
        <v>#DIV/0!</v>
      </c>
      <c r="AC40" s="2"/>
    </row>
    <row r="41" spans="1:29" ht="18" hidden="1" x14ac:dyDescent="0.2">
      <c r="A41" s="2"/>
      <c r="B41" s="81"/>
      <c r="C41" s="4"/>
      <c r="D41" s="4"/>
      <c r="E41" s="4"/>
      <c r="F41" s="4"/>
      <c r="G41" s="4"/>
      <c r="H41" s="4"/>
      <c r="I41" s="4"/>
      <c r="J41" s="19"/>
      <c r="K41" s="4"/>
      <c r="L41" s="4"/>
      <c r="M41" s="4"/>
      <c r="N41" s="4"/>
      <c r="O41" s="4"/>
      <c r="P41" s="4"/>
      <c r="Q41" s="4"/>
      <c r="R41" s="4"/>
      <c r="S41" s="149"/>
      <c r="T41" s="147"/>
      <c r="U41" s="147"/>
      <c r="V41" s="147"/>
      <c r="W41" s="147"/>
      <c r="X41" s="146"/>
      <c r="Y41" s="137"/>
      <c r="Z41" s="157">
        <f>SUM(Z$19:Z$37)+SUMIF($S$15:$S$17,"&gt;0",Z$15:Z$17)</f>
        <v>0</v>
      </c>
      <c r="AA41" s="157">
        <f>SUM(AA$19:AA$37)+SUMIF($S$15:$S$17,"&gt;0",AA$15:AA$17)</f>
        <v>0</v>
      </c>
      <c r="AB41" s="81" t="e">
        <f>AA41/Z41-1</f>
        <v>#DIV/0!</v>
      </c>
      <c r="AC41" s="2"/>
    </row>
    <row r="42" spans="1:29" ht="20.100000000000001" customHeight="1" x14ac:dyDescent="0.25">
      <c r="A42" s="2"/>
      <c r="B42" s="38"/>
      <c r="C42" s="4"/>
      <c r="D42" s="4"/>
      <c r="E42" s="4"/>
      <c r="F42" s="4"/>
      <c r="G42" s="4"/>
      <c r="H42" s="4"/>
      <c r="I42" s="4"/>
      <c r="J42" s="7"/>
      <c r="K42" s="4"/>
      <c r="L42" s="4"/>
      <c r="M42" s="4"/>
      <c r="N42" s="4"/>
      <c r="O42" s="4"/>
      <c r="P42" s="4"/>
      <c r="Q42" s="4"/>
      <c r="R42" s="4"/>
      <c r="S42" s="148" t="s">
        <v>94</v>
      </c>
      <c r="T42" s="146"/>
      <c r="U42" s="146"/>
      <c r="V42" s="146"/>
      <c r="W42" s="146"/>
      <c r="X42" s="146"/>
      <c r="Y42" s="138"/>
      <c r="Z42" s="158" t="str">
        <f>IF(Z41=0,"n/a",(AA41/Z41-1))</f>
        <v>n/a</v>
      </c>
      <c r="AA42" s="144"/>
      <c r="AB42" s="38"/>
      <c r="AC42" s="105"/>
    </row>
    <row r="43" spans="1:29" ht="20.100000000000001" customHeight="1" x14ac:dyDescent="0.25">
      <c r="A43" s="2"/>
      <c r="B43" s="38"/>
      <c r="C43" s="4"/>
      <c r="D43" s="4"/>
      <c r="E43" s="4"/>
      <c r="F43" s="4"/>
      <c r="G43" s="4"/>
      <c r="H43" s="4"/>
      <c r="I43" s="4"/>
      <c r="J43" s="7"/>
      <c r="K43" s="4"/>
      <c r="L43" s="4"/>
      <c r="M43" s="4"/>
      <c r="N43" s="4"/>
      <c r="O43" s="4"/>
      <c r="P43" s="4"/>
      <c r="Q43" s="4"/>
      <c r="R43" s="7"/>
      <c r="S43" s="148" t="s">
        <v>95</v>
      </c>
      <c r="T43" s="146"/>
      <c r="U43" s="146"/>
      <c r="V43" s="146"/>
      <c r="W43" s="146"/>
      <c r="X43" s="150" t="str">
        <f>'Annual Statement Summary'!D58</f>
        <v>2024/25</v>
      </c>
      <c r="Y43" s="139"/>
      <c r="Z43" s="159">
        <f>'Annual Statement Summary'!E58</f>
        <v>7.7600000000000002E-2</v>
      </c>
      <c r="AA43" s="144"/>
      <c r="AB43" s="38"/>
      <c r="AC43" s="2"/>
    </row>
    <row r="44" spans="1:29" ht="15" customHeight="1" x14ac:dyDescent="0.2">
      <c r="A44" s="2"/>
      <c r="B44" s="3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38"/>
      <c r="AA44" s="38"/>
      <c r="AB44" s="38"/>
      <c r="AC44" s="2"/>
    </row>
    <row r="45" spans="1:29" ht="25.5" customHeight="1" x14ac:dyDescent="0.2">
      <c r="A45" s="2"/>
      <c r="B45" s="38"/>
      <c r="C45" s="5"/>
      <c r="D45" s="4"/>
      <c r="E45" s="82" t="s">
        <v>96</v>
      </c>
      <c r="F45" s="82"/>
      <c r="G45" s="82"/>
      <c r="H45" s="4"/>
      <c r="I45" s="275" t="str">
        <f>IF(AND(ISNUMBER(Z42),Z42&gt;Z43),"Revenue % change exceeds co-payment annual statement","Revenue % change within co-payment annual statement")</f>
        <v>Revenue % change within co-payment annual statement</v>
      </c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38"/>
      <c r="AC45" s="2"/>
    </row>
    <row r="46" spans="1:29" x14ac:dyDescent="0.2">
      <c r="A46" s="2"/>
      <c r="B46" s="38"/>
      <c r="C46" s="39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2"/>
    </row>
    <row r="47" spans="1:29" ht="24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2"/>
      <c r="B324" s="2"/>
    </row>
    <row r="325" spans="1:29" x14ac:dyDescent="0.2">
      <c r="A325" s="2"/>
      <c r="B325" s="2"/>
    </row>
    <row r="326" spans="1:29" x14ac:dyDescent="0.2">
      <c r="A326" s="2"/>
      <c r="B326" s="2"/>
    </row>
    <row r="327" spans="1:29" x14ac:dyDescent="0.2">
      <c r="A327" s="2"/>
      <c r="B327" s="2"/>
    </row>
    <row r="328" spans="1:29" x14ac:dyDescent="0.2">
      <c r="A328" s="2"/>
      <c r="B328" s="2"/>
    </row>
    <row r="329" spans="1:29" x14ac:dyDescent="0.2">
      <c r="A329" s="2"/>
      <c r="B329" s="2"/>
    </row>
    <row r="330" spans="1:29" x14ac:dyDescent="0.2">
      <c r="A330" s="2"/>
      <c r="B330" s="2"/>
    </row>
    <row r="331" spans="1:29" x14ac:dyDescent="0.2">
      <c r="A331" s="2"/>
      <c r="B331" s="2"/>
    </row>
    <row r="332" spans="1:29" x14ac:dyDescent="0.2">
      <c r="A332" s="2"/>
      <c r="B332" s="2"/>
    </row>
    <row r="333" spans="1:29" x14ac:dyDescent="0.2">
      <c r="A333" s="2"/>
      <c r="B333" s="2"/>
    </row>
    <row r="334" spans="1:29" x14ac:dyDescent="0.2">
      <c r="A334" s="2"/>
      <c r="B334" s="2"/>
    </row>
    <row r="335" spans="1:29" x14ac:dyDescent="0.2">
      <c r="A335" s="2"/>
      <c r="B335" s="2"/>
    </row>
    <row r="336" spans="1:29" x14ac:dyDescent="0.2">
      <c r="A336" s="2"/>
      <c r="B336" s="2"/>
    </row>
    <row r="337" spans="1:2" x14ac:dyDescent="0.2">
      <c r="A337" s="2"/>
      <c r="B337" s="2"/>
    </row>
    <row r="338" spans="1:2" x14ac:dyDescent="0.2">
      <c r="A338" s="2"/>
      <c r="B338" s="2"/>
    </row>
    <row r="339" spans="1:2" x14ac:dyDescent="0.2">
      <c r="A339" s="2"/>
      <c r="B339" s="2"/>
    </row>
    <row r="340" spans="1:2" x14ac:dyDescent="0.2">
      <c r="A340" s="2"/>
      <c r="B340" s="2"/>
    </row>
    <row r="341" spans="1:2" x14ac:dyDescent="0.2">
      <c r="A341" s="2"/>
      <c r="B341" s="2"/>
    </row>
    <row r="342" spans="1:2" x14ac:dyDescent="0.2">
      <c r="A342" s="2"/>
      <c r="B342" s="2"/>
    </row>
    <row r="343" spans="1:2" x14ac:dyDescent="0.2">
      <c r="A343" s="2"/>
      <c r="B343" s="2"/>
    </row>
    <row r="344" spans="1:2" x14ac:dyDescent="0.2">
      <c r="A344" s="2"/>
      <c r="B344" s="2"/>
    </row>
    <row r="345" spans="1:2" x14ac:dyDescent="0.2">
      <c r="A345" s="2"/>
      <c r="B345" s="2"/>
    </row>
    <row r="346" spans="1:2" x14ac:dyDescent="0.2">
      <c r="A346" s="2"/>
      <c r="B346" s="2"/>
    </row>
    <row r="347" spans="1:2" x14ac:dyDescent="0.2">
      <c r="A347" s="2"/>
      <c r="B347" s="2"/>
    </row>
    <row r="348" spans="1:2" x14ac:dyDescent="0.2">
      <c r="A348" s="2"/>
      <c r="B348" s="2"/>
    </row>
    <row r="349" spans="1:2" x14ac:dyDescent="0.2">
      <c r="A349" s="2"/>
      <c r="B349" s="2"/>
    </row>
    <row r="350" spans="1:2" x14ac:dyDescent="0.2">
      <c r="A350" s="2"/>
      <c r="B350" s="2"/>
    </row>
    <row r="351" spans="1:2" x14ac:dyDescent="0.2">
      <c r="A351" s="2"/>
      <c r="B351" s="2"/>
    </row>
    <row r="352" spans="1:2" x14ac:dyDescent="0.2">
      <c r="A352" s="2"/>
      <c r="B352" s="2"/>
    </row>
    <row r="353" spans="1:2" x14ac:dyDescent="0.2">
      <c r="A353" s="2"/>
      <c r="B353" s="2"/>
    </row>
    <row r="354" spans="1:2" x14ac:dyDescent="0.2">
      <c r="A354" s="2"/>
      <c r="B354" s="2"/>
    </row>
    <row r="355" spans="1:2" x14ac:dyDescent="0.2">
      <c r="A355" s="2"/>
      <c r="B355" s="2"/>
    </row>
    <row r="356" spans="1:2" x14ac:dyDescent="0.2">
      <c r="A356" s="2"/>
      <c r="B356" s="2"/>
    </row>
    <row r="357" spans="1:2" x14ac:dyDescent="0.2">
      <c r="A357" s="2"/>
      <c r="B357" s="2"/>
    </row>
    <row r="358" spans="1:2" x14ac:dyDescent="0.2">
      <c r="A358" s="2"/>
      <c r="B358" s="2"/>
    </row>
    <row r="359" spans="1:2" x14ac:dyDescent="0.2">
      <c r="A359" s="2"/>
      <c r="B359" s="2"/>
    </row>
    <row r="360" spans="1:2" x14ac:dyDescent="0.2">
      <c r="A360" s="2"/>
      <c r="B360" s="2"/>
    </row>
    <row r="361" spans="1:2" x14ac:dyDescent="0.2">
      <c r="A361" s="2"/>
      <c r="B361" s="2"/>
    </row>
    <row r="362" spans="1:2" x14ac:dyDescent="0.2">
      <c r="A362" s="2"/>
      <c r="B362" s="2"/>
    </row>
    <row r="363" spans="1:2" x14ac:dyDescent="0.2">
      <c r="A363" s="2"/>
      <c r="B363" s="2"/>
    </row>
  </sheetData>
  <sheetProtection algorithmName="SHA-512" hashValue="B0vtKD/Kv8Lv7X1qZn2rCNz4DTXaectz8GWL96gIzk30iqnIq0gGt9lmvDW6NsUBFGJ5Z8hQhKga+rxB/TkYzg==" saltValue="Ontzr2VPrRdeIeOUdTpPbQ==" spinCount="100000" sheet="1" objects="1" scenarios="1"/>
  <mergeCells count="7">
    <mergeCell ref="I45:AA45"/>
    <mergeCell ref="I12:L12"/>
    <mergeCell ref="I13:K13"/>
    <mergeCell ref="L13:N13"/>
    <mergeCell ref="I38:N39"/>
    <mergeCell ref="S14:AA14"/>
    <mergeCell ref="S16:AA16"/>
  </mergeCells>
  <phoneticPr fontId="0" type="noConversion"/>
  <conditionalFormatting sqref="Q15">
    <cfRule type="cellIs" dxfId="32" priority="51" stopIfTrue="1" operator="equal">
      <formula>TRUE</formula>
    </cfRule>
  </conditionalFormatting>
  <conditionalFormatting sqref="Q17 Q21 Q25 Q29 Q33 Q37">
    <cfRule type="cellIs" dxfId="31" priority="54" stopIfTrue="1" operator="equal">
      <formula>TRUE</formula>
    </cfRule>
  </conditionalFormatting>
  <conditionalFormatting sqref="Q19">
    <cfRule type="cellIs" dxfId="30" priority="48" stopIfTrue="1" operator="equal">
      <formula>TRUE</formula>
    </cfRule>
  </conditionalFormatting>
  <conditionalFormatting sqref="Q23">
    <cfRule type="cellIs" dxfId="29" priority="45" stopIfTrue="1" operator="equal">
      <formula>TRUE</formula>
    </cfRule>
  </conditionalFormatting>
  <conditionalFormatting sqref="Q27">
    <cfRule type="cellIs" dxfId="28" priority="42" stopIfTrue="1" operator="equal">
      <formula>TRUE</formula>
    </cfRule>
  </conditionalFormatting>
  <conditionalFormatting sqref="Q31">
    <cfRule type="cellIs" dxfId="27" priority="39" stopIfTrue="1" operator="equal">
      <formula>TRUE</formula>
    </cfRule>
  </conditionalFormatting>
  <conditionalFormatting sqref="Q35">
    <cfRule type="cellIs" dxfId="26" priority="36" stopIfTrue="1" operator="equal">
      <formula>TRUE</formula>
    </cfRule>
  </conditionalFormatting>
  <conditionalFormatting sqref="R38:R39 X38:X39">
    <cfRule type="cellIs" dxfId="25" priority="55" stopIfTrue="1" operator="equal">
      <formula>"You can change the co-payment by % OR $ but not both"</formula>
    </cfRule>
  </conditionalFormatting>
  <conditionalFormatting sqref="S15:W15">
    <cfRule type="cellIs" dxfId="24" priority="52" stopIfTrue="1" operator="lessThan">
      <formula>0</formula>
    </cfRule>
  </conditionalFormatting>
  <conditionalFormatting sqref="S17:W17">
    <cfRule type="cellIs" dxfId="23" priority="22" stopIfTrue="1" operator="lessThan">
      <formula>0</formula>
    </cfRule>
  </conditionalFormatting>
  <conditionalFormatting sqref="S19:W19">
    <cfRule type="cellIs" dxfId="22" priority="21" stopIfTrue="1" operator="lessThan">
      <formula>0</formula>
    </cfRule>
  </conditionalFormatting>
  <conditionalFormatting sqref="S21:W21">
    <cfRule type="cellIs" dxfId="21" priority="20" stopIfTrue="1" operator="lessThan">
      <formula>0</formula>
    </cfRule>
  </conditionalFormatting>
  <conditionalFormatting sqref="S23:W23">
    <cfRule type="cellIs" dxfId="20" priority="19" stopIfTrue="1" operator="lessThan">
      <formula>0</formula>
    </cfRule>
  </conditionalFormatting>
  <conditionalFormatting sqref="S25:W25">
    <cfRule type="cellIs" dxfId="19" priority="18" stopIfTrue="1" operator="lessThan">
      <formula>0</formula>
    </cfRule>
  </conditionalFormatting>
  <conditionalFormatting sqref="S27:W27">
    <cfRule type="cellIs" dxfId="18" priority="17" stopIfTrue="1" operator="lessThan">
      <formula>0</formula>
    </cfRule>
  </conditionalFormatting>
  <conditionalFormatting sqref="S29:W29">
    <cfRule type="cellIs" dxfId="17" priority="16" stopIfTrue="1" operator="lessThan">
      <formula>0</formula>
    </cfRule>
  </conditionalFormatting>
  <conditionalFormatting sqref="S31:W31">
    <cfRule type="cellIs" dxfId="16" priority="15" stopIfTrue="1" operator="lessThan">
      <formula>0</formula>
    </cfRule>
  </conditionalFormatting>
  <conditionalFormatting sqref="S33:W33">
    <cfRule type="cellIs" dxfId="15" priority="14" stopIfTrue="1" operator="lessThan">
      <formula>0</formula>
    </cfRule>
  </conditionalFormatting>
  <conditionalFormatting sqref="S35:W35">
    <cfRule type="cellIs" dxfId="14" priority="13" stopIfTrue="1" operator="lessThan">
      <formula>0</formula>
    </cfRule>
  </conditionalFormatting>
  <conditionalFormatting sqref="S37:W37">
    <cfRule type="cellIs" dxfId="13" priority="12" stopIfTrue="1" operator="lessThan">
      <formula>0</formula>
    </cfRule>
  </conditionalFormatting>
  <conditionalFormatting sqref="AA15">
    <cfRule type="cellIs" dxfId="12" priority="50" stopIfTrue="1" operator="notEqual">
      <formula>Z15</formula>
    </cfRule>
  </conditionalFormatting>
  <conditionalFormatting sqref="AA17">
    <cfRule type="cellIs" dxfId="11" priority="11" stopIfTrue="1" operator="notEqual">
      <formula>Z17</formula>
    </cfRule>
  </conditionalFormatting>
  <conditionalFormatting sqref="AA19">
    <cfRule type="cellIs" dxfId="10" priority="10" stopIfTrue="1" operator="notEqual">
      <formula>Z19</formula>
    </cfRule>
  </conditionalFormatting>
  <conditionalFormatting sqref="AA21">
    <cfRule type="cellIs" dxfId="9" priority="9" stopIfTrue="1" operator="notEqual">
      <formula>Z21</formula>
    </cfRule>
  </conditionalFormatting>
  <conditionalFormatting sqref="AA23">
    <cfRule type="cellIs" dxfId="8" priority="8" stopIfTrue="1" operator="notEqual">
      <formula>Z23</formula>
    </cfRule>
  </conditionalFormatting>
  <conditionalFormatting sqref="AA25">
    <cfRule type="cellIs" dxfId="7" priority="7" stopIfTrue="1" operator="notEqual">
      <formula>Z25</formula>
    </cfRule>
  </conditionalFormatting>
  <conditionalFormatting sqref="AA27">
    <cfRule type="cellIs" dxfId="6" priority="6" stopIfTrue="1" operator="notEqual">
      <formula>Z27</formula>
    </cfRule>
  </conditionalFormatting>
  <conditionalFormatting sqref="AA29">
    <cfRule type="cellIs" dxfId="5" priority="5" stopIfTrue="1" operator="notEqual">
      <formula>Z29</formula>
    </cfRule>
  </conditionalFormatting>
  <conditionalFormatting sqref="AA31">
    <cfRule type="cellIs" dxfId="4" priority="4" stopIfTrue="1" operator="notEqual">
      <formula>Z31</formula>
    </cfRule>
  </conditionalFormatting>
  <conditionalFormatting sqref="AA33">
    <cfRule type="cellIs" dxfId="3" priority="3" stopIfTrue="1" operator="notEqual">
      <formula>Z33</formula>
    </cfRule>
  </conditionalFormatting>
  <conditionalFormatting sqref="AA35">
    <cfRule type="cellIs" dxfId="2" priority="2" stopIfTrue="1" operator="notEqual">
      <formula>Z35</formula>
    </cfRule>
  </conditionalFormatting>
  <conditionalFormatting sqref="AA37">
    <cfRule type="cellIs" dxfId="1" priority="1" stopIfTrue="1" operator="notEqual">
      <formula>Z37</formula>
    </cfRule>
  </conditionalFormatting>
  <conditionalFormatting sqref="AA40">
    <cfRule type="cellIs" dxfId="0" priority="53" stopIfTrue="1" operator="notEqual">
      <formula>Z40</formula>
    </cfRule>
  </conditionalFormatting>
  <pageMargins left="0.25" right="0.25" top="0.75" bottom="0.75" header="0.3" footer="0.3"/>
  <pageSetup paperSize="9" scale="51" orientation="landscape" r:id="rId1"/>
  <headerFooter alignWithMargins="0">
    <oddHeader>&amp;C&amp;"Calibri"&amp;10&amp;K000000 UNCLASSIFIED&amp;1#_x000D_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9</xdr:col>
                    <xdr:colOff>0</xdr:colOff>
                    <xdr:row>16</xdr:row>
                    <xdr:rowOff>9525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Spinner 7">
              <controlPr defaultSize="0" autoPict="0">
                <anchor moveWithCells="1" sizeWithCells="1">
                  <from>
                    <xdr:col>12</xdr:col>
                    <xdr:colOff>0</xdr:colOff>
                    <xdr:row>16</xdr:row>
                    <xdr:rowOff>9525</xdr:rowOff>
                  </from>
                  <to>
                    <xdr:col>14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6" name="Spinner 23">
              <controlPr defaultSize="0" autoPict="0">
                <anchor moveWithCells="1" sizeWithCells="1">
                  <from>
                    <xdr:col>9</xdr:col>
                    <xdr:colOff>0</xdr:colOff>
                    <xdr:row>14</xdr:row>
                    <xdr:rowOff>9525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7" name="Spinner 24">
              <controlPr defaultSize="0" autoPict="0">
                <anchor moveWithCells="1" sizeWithCells="1">
                  <from>
                    <xdr:col>12</xdr:col>
                    <xdr:colOff>0</xdr:colOff>
                    <xdr:row>14</xdr:row>
                    <xdr:rowOff>9525</xdr:rowOff>
                  </from>
                  <to>
                    <xdr:col>14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8" name="Spinner 26">
              <controlPr defaultSize="0" autoPict="0">
                <anchor moveWithCells="1" sizeWithCells="1">
                  <from>
                    <xdr:col>9</xdr:col>
                    <xdr:colOff>0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9" name="Spinner 27">
              <controlPr defaultSize="0" autoPict="0">
                <anchor moveWithCells="1" sizeWithCells="1">
                  <from>
                    <xdr:col>12</xdr:col>
                    <xdr:colOff>0</xdr:colOff>
                    <xdr:row>18</xdr:row>
                    <xdr:rowOff>9525</xdr:rowOff>
                  </from>
                  <to>
                    <xdr:col>14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0" name="Spinner 28">
              <controlPr defaultSize="0" autoPict="0">
                <anchor moveWithCells="1" siz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1" name="Spinner 29">
              <controlPr defaultSize="0" autoPict="0">
                <anchor moveWithCells="1" sizeWithCells="1">
                  <from>
                    <xdr:col>12</xdr:col>
                    <xdr:colOff>0</xdr:colOff>
                    <xdr:row>22</xdr:row>
                    <xdr:rowOff>9525</xdr:rowOff>
                  </from>
                  <to>
                    <xdr:col>14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2" name="Spinner 30">
              <controlPr defaultSize="0" autoPict="0">
                <anchor moveWithCells="1" sizeWithCells="1">
                  <from>
                    <xdr:col>9</xdr:col>
                    <xdr:colOff>0</xdr:colOff>
                    <xdr:row>26</xdr:row>
                    <xdr:rowOff>9525</xdr:rowOff>
                  </from>
                  <to>
                    <xdr:col>11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3" name="Spinner 31">
              <controlPr defaultSize="0" autoPict="0">
                <anchor moveWithCells="1" siz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4" name="Spinner 32">
              <controlPr defaultSize="0" autoPict="0">
                <anchor moveWithCells="1" sizeWithCells="1">
                  <from>
                    <xdr:col>9</xdr:col>
                    <xdr:colOff>0</xdr:colOff>
                    <xdr:row>30</xdr:row>
                    <xdr:rowOff>9525</xdr:rowOff>
                  </from>
                  <to>
                    <xdr:col>11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5" name="Spinner 33">
              <controlPr defaultSize="0" autoPict="0">
                <anchor moveWithCells="1" sizeWithCells="1">
                  <from>
                    <xdr:col>12</xdr:col>
                    <xdr:colOff>0</xdr:colOff>
                    <xdr:row>30</xdr:row>
                    <xdr:rowOff>0</xdr:rowOff>
                  </from>
                  <to>
                    <xdr:col>14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6" name="Spinner 34">
              <controlPr defaultSize="0" autoPict="0">
                <anchor moveWithCells="1" sizeWithCells="1">
                  <from>
                    <xdr:col>9</xdr:col>
                    <xdr:colOff>0</xdr:colOff>
                    <xdr:row>34</xdr:row>
                    <xdr:rowOff>9525</xdr:rowOff>
                  </from>
                  <to>
                    <xdr:col>11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7" name="Spinner 35">
              <controlPr defaultSize="0" autoPict="0">
                <anchor moveWithCells="1" sizeWithCells="1">
                  <from>
                    <xdr:col>12</xdr:col>
                    <xdr:colOff>0</xdr:colOff>
                    <xdr:row>34</xdr:row>
                    <xdr:rowOff>9525</xdr:rowOff>
                  </from>
                  <to>
                    <xdr:col>14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499984740745262"/>
  </sheetPr>
  <dimension ref="A1:AI73"/>
  <sheetViews>
    <sheetView workbookViewId="0">
      <selection activeCell="X50" sqref="X50"/>
    </sheetView>
  </sheetViews>
  <sheetFormatPr defaultRowHeight="12.75" x14ac:dyDescent="0.2"/>
  <cols>
    <col min="10" max="10" width="9.5703125" bestFit="1" customWidth="1"/>
    <col min="13" max="13" width="10.140625" customWidth="1"/>
    <col min="15" max="15" width="11.28515625" bestFit="1" customWidth="1"/>
    <col min="16" max="16" width="13.85546875" bestFit="1" customWidth="1"/>
    <col min="18" max="18" width="11.140625" bestFit="1" customWidth="1"/>
    <col min="19" max="19" width="11.140625" customWidth="1"/>
    <col min="23" max="24" width="10.140625" bestFit="1" customWidth="1"/>
    <col min="28" max="28" width="10.5703125" customWidth="1"/>
    <col min="29" max="29" width="11.140625" bestFit="1" customWidth="1"/>
    <col min="30" max="31" width="9.5703125" bestFit="1" customWidth="1"/>
    <col min="33" max="33" width="10.42578125" customWidth="1"/>
    <col min="34" max="34" width="10" bestFit="1" customWidth="1"/>
  </cols>
  <sheetData>
    <row r="1" spans="1:23" ht="14.25" x14ac:dyDescent="0.2">
      <c r="A1" s="166" t="s">
        <v>97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23" x14ac:dyDescent="0.2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23" x14ac:dyDescent="0.2">
      <c r="A3" s="169" t="s">
        <v>98</v>
      </c>
      <c r="B3" s="169" t="s">
        <v>99</v>
      </c>
      <c r="C3" s="170" t="s">
        <v>100</v>
      </c>
      <c r="D3" s="170"/>
      <c r="E3" s="170"/>
      <c r="F3" s="170"/>
      <c r="G3" s="170"/>
      <c r="H3" s="170"/>
      <c r="I3" s="170"/>
      <c r="J3" s="170"/>
      <c r="K3" s="170" t="s">
        <v>101</v>
      </c>
      <c r="L3" s="170"/>
      <c r="M3" s="170"/>
      <c r="N3" s="170"/>
      <c r="O3" s="170"/>
      <c r="P3" s="170"/>
      <c r="Q3" s="170"/>
      <c r="R3" s="170"/>
    </row>
    <row r="4" spans="1:23" x14ac:dyDescent="0.2">
      <c r="A4" s="171"/>
      <c r="B4" s="171"/>
      <c r="C4" s="170" t="s">
        <v>102</v>
      </c>
      <c r="D4" s="170"/>
      <c r="E4" s="170"/>
      <c r="F4" s="170"/>
      <c r="G4" s="170" t="s">
        <v>103</v>
      </c>
      <c r="H4" s="170"/>
      <c r="I4" s="170"/>
      <c r="J4" s="170"/>
      <c r="K4" s="170" t="s">
        <v>102</v>
      </c>
      <c r="L4" s="170"/>
      <c r="M4" s="170"/>
      <c r="N4" s="170"/>
      <c r="O4" s="170" t="s">
        <v>103</v>
      </c>
      <c r="P4" s="170"/>
      <c r="Q4" s="170"/>
      <c r="R4" s="170"/>
    </row>
    <row r="5" spans="1:23" x14ac:dyDescent="0.2">
      <c r="A5" s="171"/>
      <c r="B5" s="171"/>
      <c r="C5" s="170" t="s">
        <v>104</v>
      </c>
      <c r="D5" s="170"/>
      <c r="E5" s="170" t="s">
        <v>105</v>
      </c>
      <c r="F5" s="170"/>
      <c r="G5" s="170" t="s">
        <v>104</v>
      </c>
      <c r="H5" s="170"/>
      <c r="I5" s="170" t="s">
        <v>105</v>
      </c>
      <c r="J5" s="170"/>
      <c r="K5" s="170" t="s">
        <v>104</v>
      </c>
      <c r="L5" s="170"/>
      <c r="M5" s="170" t="s">
        <v>105</v>
      </c>
      <c r="N5" s="170"/>
      <c r="O5" s="170" t="s">
        <v>104</v>
      </c>
      <c r="P5" s="170"/>
      <c r="Q5" s="170" t="s">
        <v>105</v>
      </c>
      <c r="R5" s="170"/>
    </row>
    <row r="6" spans="1:23" x14ac:dyDescent="0.2">
      <c r="A6" s="172"/>
      <c r="B6" s="172"/>
      <c r="C6" s="173" t="s">
        <v>106</v>
      </c>
      <c r="D6" s="173" t="s">
        <v>107</v>
      </c>
      <c r="E6" s="173" t="s">
        <v>106</v>
      </c>
      <c r="F6" s="173" t="s">
        <v>107</v>
      </c>
      <c r="G6" s="173" t="s">
        <v>106</v>
      </c>
      <c r="H6" s="173" t="s">
        <v>107</v>
      </c>
      <c r="I6" s="173" t="s">
        <v>106</v>
      </c>
      <c r="J6" s="173" t="s">
        <v>107</v>
      </c>
      <c r="K6" s="173" t="s">
        <v>106</v>
      </c>
      <c r="L6" s="173" t="s">
        <v>107</v>
      </c>
      <c r="M6" s="173" t="s">
        <v>106</v>
      </c>
      <c r="N6" s="173" t="s">
        <v>107</v>
      </c>
      <c r="O6" s="173" t="s">
        <v>106</v>
      </c>
      <c r="P6" s="173" t="s">
        <v>107</v>
      </c>
      <c r="Q6" s="173" t="s">
        <v>106</v>
      </c>
      <c r="R6" s="173" t="s">
        <v>107</v>
      </c>
    </row>
    <row r="7" spans="1:23" x14ac:dyDescent="0.2">
      <c r="A7" s="288" t="s">
        <v>108</v>
      </c>
      <c r="B7" s="174" t="s">
        <v>109</v>
      </c>
      <c r="C7" s="175">
        <v>6120</v>
      </c>
      <c r="D7" s="175">
        <v>32</v>
      </c>
      <c r="E7" s="175">
        <v>87338</v>
      </c>
      <c r="F7" s="175">
        <v>514</v>
      </c>
      <c r="G7" s="175"/>
      <c r="H7" s="175"/>
      <c r="I7" s="175"/>
      <c r="J7" s="175"/>
      <c r="K7" s="175">
        <v>43681</v>
      </c>
      <c r="L7" s="175">
        <v>84</v>
      </c>
      <c r="M7" s="175">
        <v>4957</v>
      </c>
      <c r="N7" s="175">
        <v>7</v>
      </c>
      <c r="O7" s="175"/>
      <c r="P7" s="175"/>
      <c r="Q7" s="175"/>
      <c r="R7" s="175"/>
      <c r="U7" s="201">
        <f>SUM(E7:E8)</f>
        <v>179594</v>
      </c>
      <c r="V7" s="201">
        <f>SUM(I7:I8)</f>
        <v>0</v>
      </c>
      <c r="W7" s="201"/>
    </row>
    <row r="8" spans="1:23" x14ac:dyDescent="0.2">
      <c r="A8" s="288"/>
      <c r="B8" s="174" t="s">
        <v>110</v>
      </c>
      <c r="C8" s="175">
        <v>6588</v>
      </c>
      <c r="D8" s="175">
        <v>44</v>
      </c>
      <c r="E8" s="175">
        <v>92256</v>
      </c>
      <c r="F8" s="175">
        <v>663</v>
      </c>
      <c r="G8" s="175"/>
      <c r="H8" s="175"/>
      <c r="I8" s="175"/>
      <c r="J8" s="175"/>
      <c r="K8" s="175">
        <v>45749</v>
      </c>
      <c r="L8" s="175">
        <v>115</v>
      </c>
      <c r="M8" s="175">
        <v>5301</v>
      </c>
      <c r="N8" s="175">
        <v>15</v>
      </c>
      <c r="O8" s="175"/>
      <c r="P8" s="175"/>
      <c r="Q8" s="175"/>
      <c r="R8" s="175"/>
    </row>
    <row r="9" spans="1:23" x14ac:dyDescent="0.2">
      <c r="A9" s="288" t="s">
        <v>111</v>
      </c>
      <c r="B9" s="174" t="s">
        <v>109</v>
      </c>
      <c r="C9" s="175">
        <v>13421</v>
      </c>
      <c r="D9" s="175">
        <v>8</v>
      </c>
      <c r="E9" s="175">
        <v>185795</v>
      </c>
      <c r="F9" s="175">
        <v>160</v>
      </c>
      <c r="G9" s="175"/>
      <c r="H9" s="175"/>
      <c r="I9" s="175"/>
      <c r="J9" s="175"/>
      <c r="K9" s="175">
        <v>91830</v>
      </c>
      <c r="L9" s="175">
        <v>22</v>
      </c>
      <c r="M9" s="175">
        <v>10703</v>
      </c>
      <c r="N9" s="175">
        <v>3</v>
      </c>
      <c r="O9" s="175"/>
      <c r="P9" s="175"/>
      <c r="Q9" s="175"/>
      <c r="R9" s="175"/>
      <c r="U9">
        <f>SUM(E9:E10)*9/10</f>
        <v>342768.6</v>
      </c>
      <c r="V9">
        <f>SUM(I9:I10)*9/10</f>
        <v>0</v>
      </c>
    </row>
    <row r="10" spans="1:23" x14ac:dyDescent="0.2">
      <c r="A10" s="288"/>
      <c r="B10" s="174" t="s">
        <v>110</v>
      </c>
      <c r="C10" s="175">
        <v>14435</v>
      </c>
      <c r="D10" s="175">
        <v>6</v>
      </c>
      <c r="E10" s="175">
        <v>195059</v>
      </c>
      <c r="F10" s="175">
        <v>171</v>
      </c>
      <c r="G10" s="175"/>
      <c r="H10" s="175"/>
      <c r="I10" s="175"/>
      <c r="J10" s="175"/>
      <c r="K10" s="175">
        <v>96946</v>
      </c>
      <c r="L10" s="175">
        <v>42</v>
      </c>
      <c r="M10" s="175">
        <v>11243</v>
      </c>
      <c r="N10" s="175">
        <v>8</v>
      </c>
      <c r="O10" s="175"/>
      <c r="P10" s="175"/>
      <c r="Q10" s="175"/>
      <c r="R10" s="175"/>
    </row>
    <row r="11" spans="1:23" x14ac:dyDescent="0.2">
      <c r="A11" s="288" t="s">
        <v>112</v>
      </c>
      <c r="B11" s="174" t="s">
        <v>109</v>
      </c>
      <c r="C11" s="175">
        <v>8958</v>
      </c>
      <c r="D11" s="175">
        <v>12</v>
      </c>
      <c r="E11" s="175">
        <v>138185</v>
      </c>
      <c r="F11" s="175">
        <v>80</v>
      </c>
      <c r="G11" s="175">
        <v>2010</v>
      </c>
      <c r="H11" s="175">
        <v>2</v>
      </c>
      <c r="I11" s="175">
        <v>25106</v>
      </c>
      <c r="J11" s="175">
        <v>40</v>
      </c>
      <c r="K11" s="175">
        <v>61136</v>
      </c>
      <c r="L11" s="175">
        <v>20</v>
      </c>
      <c r="M11" s="175">
        <v>18531</v>
      </c>
      <c r="N11" s="175">
        <v>3</v>
      </c>
      <c r="O11" s="175">
        <v>23882</v>
      </c>
      <c r="P11" s="175">
        <v>18</v>
      </c>
      <c r="Q11" s="175">
        <v>6685</v>
      </c>
      <c r="R11" s="175">
        <v>3</v>
      </c>
      <c r="U11">
        <f>SUM(E9:E10)*1/10+SUM(E11:E12)*3/10</f>
        <v>123503.79999999999</v>
      </c>
      <c r="V11">
        <f>SUM(I9:I10)*1/10+SUM(I11:I12)*3/10</f>
        <v>12810.3</v>
      </c>
    </row>
    <row r="12" spans="1:23" x14ac:dyDescent="0.2">
      <c r="A12" s="288"/>
      <c r="B12" s="174" t="s">
        <v>110</v>
      </c>
      <c r="C12" s="175">
        <v>9936</v>
      </c>
      <c r="D12" s="175"/>
      <c r="E12" s="175">
        <v>146543</v>
      </c>
      <c r="F12" s="175">
        <v>18</v>
      </c>
      <c r="G12" s="175">
        <v>1361</v>
      </c>
      <c r="H12" s="175">
        <v>2</v>
      </c>
      <c r="I12" s="175">
        <v>17595</v>
      </c>
      <c r="J12" s="175">
        <v>17</v>
      </c>
      <c r="K12" s="175">
        <v>68028</v>
      </c>
      <c r="L12" s="175">
        <v>9</v>
      </c>
      <c r="M12" s="175">
        <v>16575</v>
      </c>
      <c r="N12" s="175"/>
      <c r="O12" s="175">
        <v>14831</v>
      </c>
      <c r="P12" s="175">
        <v>3</v>
      </c>
      <c r="Q12" s="175">
        <v>4237</v>
      </c>
      <c r="R12" s="175">
        <v>1</v>
      </c>
      <c r="U12">
        <f>SUM(E11:E12)*7/10</f>
        <v>199309.6</v>
      </c>
      <c r="V12">
        <f>SUM(I11:I12)*7/10</f>
        <v>29890.7</v>
      </c>
    </row>
    <row r="13" spans="1:23" x14ac:dyDescent="0.2">
      <c r="A13" s="288" t="s">
        <v>113</v>
      </c>
      <c r="B13" s="174" t="s">
        <v>109</v>
      </c>
      <c r="C13" s="175">
        <v>18345</v>
      </c>
      <c r="D13" s="175">
        <v>11</v>
      </c>
      <c r="E13" s="175">
        <v>319944</v>
      </c>
      <c r="F13" s="175">
        <v>206</v>
      </c>
      <c r="G13" s="175">
        <v>5895</v>
      </c>
      <c r="H13" s="175">
        <v>20</v>
      </c>
      <c r="I13" s="175">
        <v>66784</v>
      </c>
      <c r="J13" s="175">
        <v>149</v>
      </c>
      <c r="K13" s="175">
        <v>107572</v>
      </c>
      <c r="L13" s="175">
        <v>66</v>
      </c>
      <c r="M13" s="175">
        <v>18643</v>
      </c>
      <c r="N13" s="175">
        <v>14</v>
      </c>
      <c r="O13" s="175">
        <v>61568</v>
      </c>
      <c r="P13" s="175">
        <v>83</v>
      </c>
      <c r="Q13" s="175">
        <v>7122</v>
      </c>
      <c r="R13" s="175">
        <v>22</v>
      </c>
      <c r="U13" s="201">
        <f>SUM(E13:E14)</f>
        <v>617583</v>
      </c>
      <c r="V13" s="201">
        <f>SUM(I13:I14)</f>
        <v>107535</v>
      </c>
      <c r="W13" s="201"/>
    </row>
    <row r="14" spans="1:23" x14ac:dyDescent="0.2">
      <c r="A14" s="288"/>
      <c r="B14" s="174" t="s">
        <v>110</v>
      </c>
      <c r="C14" s="175">
        <v>17843</v>
      </c>
      <c r="D14" s="175">
        <v>5</v>
      </c>
      <c r="E14" s="175">
        <v>297639</v>
      </c>
      <c r="F14" s="175">
        <v>55</v>
      </c>
      <c r="G14" s="175">
        <v>3214</v>
      </c>
      <c r="H14" s="175">
        <v>4</v>
      </c>
      <c r="I14" s="175">
        <v>40751</v>
      </c>
      <c r="J14" s="175">
        <v>72</v>
      </c>
      <c r="K14" s="175">
        <v>116106</v>
      </c>
      <c r="L14" s="175">
        <v>23</v>
      </c>
      <c r="M14" s="175">
        <v>18608</v>
      </c>
      <c r="N14" s="175">
        <v>9</v>
      </c>
      <c r="O14" s="175">
        <v>36037</v>
      </c>
      <c r="P14" s="175">
        <v>37</v>
      </c>
      <c r="Q14" s="175">
        <v>4952</v>
      </c>
      <c r="R14" s="175">
        <v>12</v>
      </c>
    </row>
    <row r="15" spans="1:23" x14ac:dyDescent="0.2">
      <c r="A15" s="288" t="s">
        <v>114</v>
      </c>
      <c r="B15" s="174" t="s">
        <v>109</v>
      </c>
      <c r="C15" s="175">
        <v>23083</v>
      </c>
      <c r="D15" s="175">
        <v>35</v>
      </c>
      <c r="E15" s="175">
        <v>356639</v>
      </c>
      <c r="F15" s="175">
        <v>403</v>
      </c>
      <c r="G15" s="175">
        <v>4772</v>
      </c>
      <c r="H15" s="175">
        <v>22</v>
      </c>
      <c r="I15" s="175">
        <v>55450</v>
      </c>
      <c r="J15" s="175">
        <v>258</v>
      </c>
      <c r="K15" s="175">
        <v>95631</v>
      </c>
      <c r="L15" s="175">
        <v>205</v>
      </c>
      <c r="M15" s="175">
        <v>18114</v>
      </c>
      <c r="N15" s="175">
        <v>38</v>
      </c>
      <c r="O15" s="175">
        <v>46986</v>
      </c>
      <c r="P15" s="175">
        <v>267</v>
      </c>
      <c r="Q15" s="175">
        <v>5343</v>
      </c>
      <c r="R15" s="175">
        <v>31</v>
      </c>
      <c r="U15" s="201">
        <f>SUM(E15:E16)</f>
        <v>696914</v>
      </c>
      <c r="V15" s="201">
        <f>SUM(I15:I16)</f>
        <v>95430</v>
      </c>
      <c r="W15" s="201"/>
    </row>
    <row r="16" spans="1:23" x14ac:dyDescent="0.2">
      <c r="A16" s="288"/>
      <c r="B16" s="174" t="s">
        <v>110</v>
      </c>
      <c r="C16" s="175">
        <v>22885</v>
      </c>
      <c r="D16" s="175">
        <v>20</v>
      </c>
      <c r="E16" s="175">
        <v>340275</v>
      </c>
      <c r="F16" s="175">
        <v>211</v>
      </c>
      <c r="G16" s="175">
        <v>3444</v>
      </c>
      <c r="H16" s="175">
        <v>11</v>
      </c>
      <c r="I16" s="175">
        <v>39980</v>
      </c>
      <c r="J16" s="175">
        <v>162</v>
      </c>
      <c r="K16" s="175">
        <v>99363</v>
      </c>
      <c r="L16" s="175">
        <v>124</v>
      </c>
      <c r="M16" s="175">
        <v>17530</v>
      </c>
      <c r="N16" s="175">
        <v>24</v>
      </c>
      <c r="O16" s="175">
        <v>36092</v>
      </c>
      <c r="P16" s="175">
        <v>168</v>
      </c>
      <c r="Q16" s="175">
        <v>4217</v>
      </c>
      <c r="R16" s="175">
        <v>24</v>
      </c>
    </row>
    <row r="17" spans="1:35" x14ac:dyDescent="0.2">
      <c r="A17" s="288" t="s">
        <v>115</v>
      </c>
      <c r="B17" s="174" t="s">
        <v>109</v>
      </c>
      <c r="C17" s="175">
        <v>10161</v>
      </c>
      <c r="D17" s="175">
        <v>128</v>
      </c>
      <c r="E17" s="175">
        <v>158180</v>
      </c>
      <c r="F17" s="175">
        <v>1005</v>
      </c>
      <c r="G17" s="175">
        <v>8340</v>
      </c>
      <c r="H17" s="175">
        <v>233</v>
      </c>
      <c r="I17" s="175">
        <v>110607</v>
      </c>
      <c r="J17" s="175">
        <v>1625</v>
      </c>
      <c r="K17" s="175">
        <v>33503</v>
      </c>
      <c r="L17" s="175">
        <v>369</v>
      </c>
      <c r="M17" s="175">
        <v>7084</v>
      </c>
      <c r="N17" s="175">
        <v>113</v>
      </c>
      <c r="O17" s="175">
        <v>38353</v>
      </c>
      <c r="P17" s="175">
        <v>686</v>
      </c>
      <c r="Q17" s="175">
        <v>6185</v>
      </c>
      <c r="R17" s="175">
        <v>183</v>
      </c>
      <c r="U17" s="201">
        <f>SUM(E17:E18)</f>
        <v>315989</v>
      </c>
      <c r="V17" s="201">
        <f>SUM(I17:I18)</f>
        <v>184867</v>
      </c>
      <c r="W17" s="201"/>
    </row>
    <row r="18" spans="1:35" x14ac:dyDescent="0.2">
      <c r="A18" s="288"/>
      <c r="B18" s="174" t="s">
        <v>110</v>
      </c>
      <c r="C18" s="175">
        <v>10586</v>
      </c>
      <c r="D18" s="175">
        <v>86</v>
      </c>
      <c r="E18" s="175">
        <v>157809</v>
      </c>
      <c r="F18" s="175">
        <v>745</v>
      </c>
      <c r="G18" s="175">
        <v>5984</v>
      </c>
      <c r="H18" s="175">
        <v>123</v>
      </c>
      <c r="I18" s="175">
        <v>74260</v>
      </c>
      <c r="J18" s="175">
        <v>933</v>
      </c>
      <c r="K18" s="175">
        <v>36049</v>
      </c>
      <c r="L18" s="175">
        <v>317</v>
      </c>
      <c r="M18" s="175">
        <v>7424</v>
      </c>
      <c r="N18" s="175">
        <v>74</v>
      </c>
      <c r="O18" s="175">
        <v>31213</v>
      </c>
      <c r="P18" s="175">
        <v>444</v>
      </c>
      <c r="Q18" s="175">
        <v>4757</v>
      </c>
      <c r="R18" s="175">
        <v>86</v>
      </c>
    </row>
    <row r="21" spans="1:35" ht="18" x14ac:dyDescent="0.2">
      <c r="A21" s="176" t="s">
        <v>116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</row>
    <row r="22" spans="1:35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</row>
    <row r="23" spans="1:35" x14ac:dyDescent="0.2">
      <c r="A23" s="178"/>
      <c r="B23" s="179"/>
      <c r="C23" s="180" t="s">
        <v>117</v>
      </c>
      <c r="D23" s="181"/>
      <c r="E23" s="181"/>
      <c r="F23" s="179"/>
      <c r="G23" s="182"/>
      <c r="H23" s="178" t="s">
        <v>118</v>
      </c>
      <c r="I23" s="178" t="s">
        <v>118</v>
      </c>
      <c r="J23" s="183" t="s">
        <v>119</v>
      </c>
      <c r="K23" s="183" t="s">
        <v>101</v>
      </c>
      <c r="L23" s="183" t="s">
        <v>120</v>
      </c>
    </row>
    <row r="24" spans="1:35" x14ac:dyDescent="0.2">
      <c r="A24" s="184" t="s">
        <v>121</v>
      </c>
      <c r="B24" s="185" t="s">
        <v>99</v>
      </c>
      <c r="C24" s="186" t="s">
        <v>122</v>
      </c>
      <c r="D24" s="187"/>
      <c r="E24" s="188" t="s">
        <v>123</v>
      </c>
      <c r="F24" s="187"/>
      <c r="G24" s="189" t="s">
        <v>101</v>
      </c>
      <c r="H24" s="189" t="s">
        <v>124</v>
      </c>
      <c r="I24" s="189" t="s">
        <v>124</v>
      </c>
      <c r="J24" s="190" t="s">
        <v>103</v>
      </c>
      <c r="K24" s="190" t="s">
        <v>125</v>
      </c>
      <c r="L24" s="190" t="s">
        <v>125</v>
      </c>
    </row>
    <row r="25" spans="1:35" ht="76.5" x14ac:dyDescent="0.2">
      <c r="A25" s="191"/>
      <c r="B25" s="192"/>
      <c r="C25" s="193" t="s">
        <v>107</v>
      </c>
      <c r="D25" s="192" t="s">
        <v>126</v>
      </c>
      <c r="E25" s="193" t="s">
        <v>107</v>
      </c>
      <c r="F25" s="192" t="s">
        <v>126</v>
      </c>
      <c r="G25" s="194"/>
      <c r="H25" s="191" t="s">
        <v>127</v>
      </c>
      <c r="I25" s="191" t="s">
        <v>128</v>
      </c>
      <c r="J25" s="195" t="s">
        <v>129</v>
      </c>
      <c r="K25" s="195" t="s">
        <v>130</v>
      </c>
      <c r="L25" s="195" t="s">
        <v>130</v>
      </c>
      <c r="O25" s="202" t="s">
        <v>99</v>
      </c>
      <c r="P25" s="202" t="s">
        <v>121</v>
      </c>
      <c r="Q25" s="202" t="s">
        <v>101</v>
      </c>
      <c r="R25" s="202" t="s">
        <v>100</v>
      </c>
      <c r="S25" s="202" t="s">
        <v>131</v>
      </c>
      <c r="T25" s="202" t="s">
        <v>132</v>
      </c>
      <c r="U25" s="202" t="s">
        <v>133</v>
      </c>
      <c r="V25" s="202" t="s">
        <v>134</v>
      </c>
      <c r="W25" s="202" t="s">
        <v>135</v>
      </c>
      <c r="X25" s="202" t="s">
        <v>136</v>
      </c>
      <c r="Y25" s="202" t="s">
        <v>137</v>
      </c>
      <c r="Z25" s="202" t="s">
        <v>138</v>
      </c>
      <c r="AA25" s="202" t="s">
        <v>139</v>
      </c>
      <c r="AB25" s="202" t="s">
        <v>140</v>
      </c>
      <c r="AC25" s="202" t="s">
        <v>141</v>
      </c>
      <c r="AD25" s="202" t="s">
        <v>142</v>
      </c>
      <c r="AE25" s="202" t="s">
        <v>143</v>
      </c>
      <c r="AF25" s="212" t="s">
        <v>144</v>
      </c>
      <c r="AG25" s="212" t="s">
        <v>145</v>
      </c>
      <c r="AH25" s="212" t="s">
        <v>146</v>
      </c>
      <c r="AI25" s="212" t="s">
        <v>147</v>
      </c>
    </row>
    <row r="26" spans="1:35" x14ac:dyDescent="0.2">
      <c r="A26" s="286" t="s">
        <v>108</v>
      </c>
      <c r="B26" s="196" t="s">
        <v>109</v>
      </c>
      <c r="C26" s="197">
        <v>623.17319999999995</v>
      </c>
      <c r="D26" s="198">
        <v>406.83839999999998</v>
      </c>
      <c r="E26" s="197">
        <v>623.17319999999995</v>
      </c>
      <c r="F26" s="198">
        <v>406.83839999999998</v>
      </c>
      <c r="G26" s="198">
        <v>81.071600000000004</v>
      </c>
      <c r="H26" s="197">
        <v>81.071600000000004</v>
      </c>
      <c r="I26" s="197">
        <v>81.071600000000004</v>
      </c>
      <c r="J26" s="198">
        <v>0</v>
      </c>
      <c r="K26" s="199">
        <v>0</v>
      </c>
      <c r="L26" s="198">
        <v>0</v>
      </c>
      <c r="O26" s="203" t="s">
        <v>109</v>
      </c>
      <c r="P26" s="203" t="s">
        <v>148</v>
      </c>
      <c r="Q26" s="204">
        <v>0</v>
      </c>
      <c r="R26" s="204">
        <v>0</v>
      </c>
      <c r="S26" s="204">
        <v>0</v>
      </c>
      <c r="T26" s="204">
        <v>0</v>
      </c>
      <c r="U26" s="205">
        <v>3.3899062269518492</v>
      </c>
      <c r="V26" s="205">
        <v>0.91800653250447795</v>
      </c>
      <c r="W26" s="206">
        <v>3.6595357848591314</v>
      </c>
      <c r="X26" s="206">
        <v>2.9776649746192891</v>
      </c>
      <c r="Y26" s="206">
        <v>1.0509306260575297</v>
      </c>
      <c r="Z26" s="207"/>
      <c r="AA26" s="207"/>
      <c r="AB26" s="208">
        <v>0</v>
      </c>
      <c r="AC26" s="209">
        <v>0</v>
      </c>
      <c r="AD26" s="210">
        <v>0</v>
      </c>
      <c r="AE26" s="210">
        <v>108.0956</v>
      </c>
      <c r="AF26" s="204">
        <v>142733</v>
      </c>
      <c r="AG26" s="204"/>
      <c r="AH26" s="203"/>
    </row>
    <row r="27" spans="1:35" x14ac:dyDescent="0.2">
      <c r="A27" s="287"/>
      <c r="B27" s="174" t="s">
        <v>110</v>
      </c>
      <c r="C27" s="197">
        <v>623.17319999999995</v>
      </c>
      <c r="D27" s="198">
        <v>432.93239999999997</v>
      </c>
      <c r="E27" s="197">
        <v>623.17319999999995</v>
      </c>
      <c r="F27" s="198">
        <v>432.93239999999997</v>
      </c>
      <c r="G27" s="198">
        <v>85.356800000000007</v>
      </c>
      <c r="H27" s="197">
        <v>85.356800000000007</v>
      </c>
      <c r="I27" s="197">
        <v>85.356800000000007</v>
      </c>
      <c r="J27" s="198">
        <v>0</v>
      </c>
      <c r="K27" s="199">
        <v>0</v>
      </c>
      <c r="L27" s="198">
        <v>0</v>
      </c>
      <c r="O27" s="203" t="s">
        <v>109</v>
      </c>
      <c r="P27" s="203" t="s">
        <v>149</v>
      </c>
      <c r="Q27" s="204">
        <v>0</v>
      </c>
      <c r="R27" s="204">
        <v>0</v>
      </c>
      <c r="S27" s="204">
        <v>0</v>
      </c>
      <c r="T27" s="204">
        <v>0</v>
      </c>
      <c r="U27" s="205">
        <v>1.9221788017549328</v>
      </c>
      <c r="V27" s="205">
        <v>0.49748667417867387</v>
      </c>
      <c r="W27" s="206">
        <v>1.827913291570737</v>
      </c>
      <c r="X27" s="206">
        <v>1.769778998299987</v>
      </c>
      <c r="Y27" s="206">
        <v>0.56479665228194065</v>
      </c>
      <c r="Z27" s="207"/>
      <c r="AA27" s="207"/>
      <c r="AB27" s="208">
        <v>0</v>
      </c>
      <c r="AC27" s="209">
        <v>0</v>
      </c>
      <c r="AD27" s="210">
        <v>0</v>
      </c>
      <c r="AE27" s="210">
        <v>54.633200000000002</v>
      </c>
      <c r="AF27" s="204">
        <v>301942</v>
      </c>
      <c r="AG27" s="204">
        <v>0</v>
      </c>
      <c r="AH27" s="203"/>
    </row>
    <row r="28" spans="1:35" x14ac:dyDescent="0.2">
      <c r="A28" s="286" t="s">
        <v>111</v>
      </c>
      <c r="B28" s="196" t="s">
        <v>109</v>
      </c>
      <c r="C28" s="197">
        <v>399.56439999999998</v>
      </c>
      <c r="D28" s="198">
        <v>104.7444</v>
      </c>
      <c r="E28" s="197">
        <v>399.56439999999998</v>
      </c>
      <c r="F28" s="198">
        <v>104.7444</v>
      </c>
      <c r="G28" s="198">
        <v>58.508800000000001</v>
      </c>
      <c r="H28" s="197">
        <v>2.5259999999999998</v>
      </c>
      <c r="I28" s="198">
        <v>58.508800000000001</v>
      </c>
      <c r="J28" s="198">
        <v>0</v>
      </c>
      <c r="K28" s="199">
        <v>0</v>
      </c>
      <c r="L28" s="198">
        <v>0</v>
      </c>
      <c r="O28" s="203" t="s">
        <v>109</v>
      </c>
      <c r="P28" s="203" t="s">
        <v>150</v>
      </c>
      <c r="Q28" s="204">
        <v>30588</v>
      </c>
      <c r="R28" s="204">
        <v>27158</v>
      </c>
      <c r="S28" s="204">
        <v>7422</v>
      </c>
      <c r="T28" s="204">
        <v>65168</v>
      </c>
      <c r="U28" s="205">
        <v>2.6502988623947554</v>
      </c>
      <c r="V28" s="205">
        <v>0.90719197891895365</v>
      </c>
      <c r="W28" s="206">
        <v>2.4375235142444613</v>
      </c>
      <c r="X28" s="206">
        <v>2.3264865531704912</v>
      </c>
      <c r="Y28" s="206">
        <v>0.89773007648655312</v>
      </c>
      <c r="Z28" s="211">
        <v>26.473919516867486</v>
      </c>
      <c r="AA28" s="211">
        <v>0</v>
      </c>
      <c r="AB28" s="208">
        <v>61457</v>
      </c>
      <c r="AC28" s="209">
        <v>2800897.0760000004</v>
      </c>
      <c r="AD28" s="210">
        <v>61.012</v>
      </c>
      <c r="AE28" s="210">
        <v>31.015999999999998</v>
      </c>
      <c r="AF28" s="204">
        <v>226925</v>
      </c>
      <c r="AG28" s="204">
        <v>57746</v>
      </c>
      <c r="AH28" s="203"/>
      <c r="AI28">
        <v>8</v>
      </c>
    </row>
    <row r="29" spans="1:35" x14ac:dyDescent="0.2">
      <c r="A29" s="287"/>
      <c r="B29" s="174" t="s">
        <v>110</v>
      </c>
      <c r="C29" s="197">
        <v>399.56439999999998</v>
      </c>
      <c r="D29" s="198">
        <v>99.271600000000007</v>
      </c>
      <c r="E29" s="197">
        <v>399.56439999999998</v>
      </c>
      <c r="F29" s="198">
        <v>99.271600000000007</v>
      </c>
      <c r="G29" s="198">
        <v>58.346400000000003</v>
      </c>
      <c r="H29" s="197">
        <v>2.3635999999999999</v>
      </c>
      <c r="I29" s="198">
        <v>58.346400000000003</v>
      </c>
      <c r="J29" s="198">
        <v>0</v>
      </c>
      <c r="K29" s="199">
        <v>0</v>
      </c>
      <c r="L29" s="198">
        <v>0</v>
      </c>
      <c r="O29" s="203" t="s">
        <v>109</v>
      </c>
      <c r="P29" s="203" t="s">
        <v>151</v>
      </c>
      <c r="Q29" s="204">
        <v>68795</v>
      </c>
      <c r="R29" s="204">
        <v>72848</v>
      </c>
      <c r="S29" s="204">
        <v>13216</v>
      </c>
      <c r="T29" s="204">
        <v>154859</v>
      </c>
      <c r="U29" s="205">
        <v>3.5162220297563138</v>
      </c>
      <c r="V29" s="205">
        <v>1.188951372539452</v>
      </c>
      <c r="W29" s="206">
        <v>2.6646062196848943</v>
      </c>
      <c r="X29" s="206">
        <v>3.1967171589239576</v>
      </c>
      <c r="Y29" s="206">
        <v>1.262475302700238</v>
      </c>
      <c r="Z29" s="211">
        <v>27.5</v>
      </c>
      <c r="AA29" s="211">
        <v>0</v>
      </c>
      <c r="AB29" s="208">
        <v>148251</v>
      </c>
      <c r="AC29" s="209">
        <v>10590511.3356</v>
      </c>
      <c r="AD29" s="210">
        <v>84.083600000000004</v>
      </c>
      <c r="AE29" s="210">
        <v>27.2544</v>
      </c>
      <c r="AF29" s="204">
        <v>464801</v>
      </c>
      <c r="AG29" s="204">
        <v>141643</v>
      </c>
      <c r="AH29" s="203"/>
      <c r="AI29">
        <v>2</v>
      </c>
    </row>
    <row r="30" spans="1:35" x14ac:dyDescent="0.2">
      <c r="A30" s="286" t="s">
        <v>112</v>
      </c>
      <c r="B30" s="196" t="s">
        <v>109</v>
      </c>
      <c r="C30" s="197">
        <v>384.9008</v>
      </c>
      <c r="D30" s="197">
        <v>121.76439999999999</v>
      </c>
      <c r="E30" s="197">
        <v>384.9008</v>
      </c>
      <c r="F30" s="197">
        <v>121.76439999999999</v>
      </c>
      <c r="G30" s="197">
        <v>31.015999999999998</v>
      </c>
      <c r="H30" s="197" t="s">
        <v>152</v>
      </c>
      <c r="I30" s="197" t="s">
        <v>152</v>
      </c>
      <c r="J30" s="198">
        <v>61.012</v>
      </c>
      <c r="K30" s="198">
        <v>29.996000000000002</v>
      </c>
      <c r="L30" s="198">
        <v>0</v>
      </c>
      <c r="O30" s="203" t="s">
        <v>109</v>
      </c>
      <c r="P30" s="203" t="s">
        <v>153</v>
      </c>
      <c r="Q30" s="204">
        <v>52627</v>
      </c>
      <c r="R30" s="204">
        <v>60502</v>
      </c>
      <c r="S30" s="204">
        <v>10216</v>
      </c>
      <c r="T30" s="204">
        <v>123345</v>
      </c>
      <c r="U30" s="205">
        <v>5.1769257641921396</v>
      </c>
      <c r="V30" s="205">
        <v>1.7242270742358079</v>
      </c>
      <c r="W30" s="206">
        <v>3.3258764560329848</v>
      </c>
      <c r="X30" s="206">
        <v>4.8503515858767212</v>
      </c>
      <c r="Y30" s="206">
        <v>1.8282465589467385</v>
      </c>
      <c r="Z30" s="211">
        <v>27.5</v>
      </c>
      <c r="AA30" s="211">
        <v>0</v>
      </c>
      <c r="AB30" s="208">
        <v>118237</v>
      </c>
      <c r="AC30" s="209">
        <v>12672701.742000001</v>
      </c>
      <c r="AD30" s="210">
        <v>123.79600000000001</v>
      </c>
      <c r="AE30" s="210">
        <v>37.33</v>
      </c>
      <c r="AF30" s="204">
        <v>494148</v>
      </c>
      <c r="AG30" s="204">
        <v>113129</v>
      </c>
      <c r="AH30" s="203"/>
      <c r="AI30">
        <v>2</v>
      </c>
    </row>
    <row r="31" spans="1:35" x14ac:dyDescent="0.2">
      <c r="A31" s="287"/>
      <c r="B31" s="174" t="s">
        <v>110</v>
      </c>
      <c r="C31" s="197">
        <v>384.9008</v>
      </c>
      <c r="D31" s="197">
        <v>67.015600000000006</v>
      </c>
      <c r="E31" s="197">
        <v>384.9008</v>
      </c>
      <c r="F31" s="197">
        <v>67.015600000000006</v>
      </c>
      <c r="G31" s="197">
        <v>17.070799999999998</v>
      </c>
      <c r="H31" s="197" t="s">
        <v>152</v>
      </c>
      <c r="I31" s="197" t="s">
        <v>152</v>
      </c>
      <c r="J31" s="198">
        <v>37.6188</v>
      </c>
      <c r="K31" s="198">
        <v>20.548000000000002</v>
      </c>
      <c r="L31" s="198">
        <v>0</v>
      </c>
      <c r="O31" s="203" t="s">
        <v>109</v>
      </c>
      <c r="P31" s="203" t="s">
        <v>115</v>
      </c>
      <c r="Q31" s="204">
        <v>45407</v>
      </c>
      <c r="R31" s="204">
        <v>120805</v>
      </c>
      <c r="S31" s="204">
        <v>18836</v>
      </c>
      <c r="T31" s="204">
        <v>185048</v>
      </c>
      <c r="U31" s="205">
        <v>6.9929992481507659</v>
      </c>
      <c r="V31" s="205">
        <v>2.0695212926404314</v>
      </c>
      <c r="W31" s="206">
        <v>5.3039793775062059</v>
      </c>
      <c r="X31" s="206">
        <v>6.6168639749856375</v>
      </c>
      <c r="Y31" s="206">
        <v>2.480302131306567</v>
      </c>
      <c r="Z31" s="211">
        <v>27.5</v>
      </c>
      <c r="AA31" s="211">
        <v>0</v>
      </c>
      <c r="AB31" s="208">
        <v>175630</v>
      </c>
      <c r="AC31" s="209">
        <v>26448464.321599998</v>
      </c>
      <c r="AD31" s="210">
        <v>167.22399999999999</v>
      </c>
      <c r="AE31" s="210">
        <v>64.331199999999995</v>
      </c>
      <c r="AF31" s="204">
        <v>210543</v>
      </c>
      <c r="AG31" s="204">
        <v>166212</v>
      </c>
      <c r="AH31" s="203"/>
      <c r="AI31">
        <v>2</v>
      </c>
    </row>
    <row r="32" spans="1:35" x14ac:dyDescent="0.2">
      <c r="A32" s="286" t="s">
        <v>113</v>
      </c>
      <c r="B32" s="196" t="s">
        <v>109</v>
      </c>
      <c r="C32" s="197">
        <v>384.9008</v>
      </c>
      <c r="D32" s="197">
        <v>106.9988</v>
      </c>
      <c r="E32" s="197">
        <v>384.9008</v>
      </c>
      <c r="F32" s="197">
        <v>106.9988</v>
      </c>
      <c r="G32" s="197">
        <v>27.2544</v>
      </c>
      <c r="H32" s="197" t="s">
        <v>152</v>
      </c>
      <c r="I32" s="197" t="s">
        <v>152</v>
      </c>
      <c r="J32" s="198">
        <v>84.083600000000004</v>
      </c>
      <c r="K32" s="198">
        <v>56.8292</v>
      </c>
      <c r="L32" s="198">
        <v>0</v>
      </c>
      <c r="O32" s="203" t="s">
        <v>110</v>
      </c>
      <c r="P32" s="203" t="s">
        <v>148</v>
      </c>
      <c r="Q32" s="204">
        <v>0</v>
      </c>
      <c r="R32" s="204">
        <v>0</v>
      </c>
      <c r="S32" s="204">
        <v>0</v>
      </c>
      <c r="T32" s="204">
        <v>0</v>
      </c>
      <c r="U32" s="205">
        <v>3.6303527579804755</v>
      </c>
      <c r="V32" s="205">
        <v>0.95122876365015674</v>
      </c>
      <c r="W32" s="206">
        <v>3.8811271702210313</v>
      </c>
      <c r="X32" s="206">
        <v>3.2530652280529671</v>
      </c>
      <c r="Y32" s="206">
        <v>1.0631028281837502</v>
      </c>
      <c r="Z32" s="211"/>
      <c r="AA32" s="211"/>
      <c r="AB32" s="208">
        <v>0</v>
      </c>
      <c r="AC32" s="209">
        <v>0</v>
      </c>
      <c r="AD32" s="210">
        <v>0</v>
      </c>
      <c r="AE32" s="210">
        <v>113.80800000000001</v>
      </c>
      <c r="AF32" s="204">
        <v>150731</v>
      </c>
      <c r="AG32" s="204"/>
      <c r="AH32" s="203"/>
    </row>
    <row r="33" spans="1:35" x14ac:dyDescent="0.2">
      <c r="A33" s="287"/>
      <c r="B33" s="174" t="s">
        <v>110</v>
      </c>
      <c r="C33" s="197">
        <v>384.9008</v>
      </c>
      <c r="D33" s="197">
        <v>69.165599999999998</v>
      </c>
      <c r="E33" s="197">
        <v>384.9008</v>
      </c>
      <c r="F33" s="197">
        <v>69.165599999999998</v>
      </c>
      <c r="G33" s="197">
        <v>17.617999999999999</v>
      </c>
      <c r="H33" s="197" t="s">
        <v>152</v>
      </c>
      <c r="I33" s="197" t="s">
        <v>152</v>
      </c>
      <c r="J33" s="198">
        <v>65.906800000000004</v>
      </c>
      <c r="K33" s="198">
        <v>48.288800000000009</v>
      </c>
      <c r="L33" s="198">
        <v>23.696400000000001</v>
      </c>
      <c r="O33" s="203" t="s">
        <v>110</v>
      </c>
      <c r="P33" s="203" t="s">
        <v>149</v>
      </c>
      <c r="Q33" s="204">
        <v>0</v>
      </c>
      <c r="R33" s="204">
        <v>0</v>
      </c>
      <c r="S33" s="204">
        <v>1</v>
      </c>
      <c r="T33" s="204">
        <v>1</v>
      </c>
      <c r="U33" s="205">
        <v>1.9568872893390337</v>
      </c>
      <c r="V33" s="205">
        <v>0.4828803919064113</v>
      </c>
      <c r="W33" s="206">
        <v>1.8178091929919662</v>
      </c>
      <c r="X33" s="206">
        <v>1.7830309186327469</v>
      </c>
      <c r="Y33" s="206">
        <v>0.54610092802068422</v>
      </c>
      <c r="Z33" s="211"/>
      <c r="AA33" s="211"/>
      <c r="AB33" s="208">
        <v>1</v>
      </c>
      <c r="AC33" s="209">
        <v>0</v>
      </c>
      <c r="AD33" s="210">
        <v>0</v>
      </c>
      <c r="AE33" s="210">
        <v>53.987200000000001</v>
      </c>
      <c r="AF33" s="204">
        <v>317910</v>
      </c>
      <c r="AG33" s="204">
        <v>0</v>
      </c>
      <c r="AH33" s="203"/>
    </row>
    <row r="34" spans="1:35" x14ac:dyDescent="0.2">
      <c r="A34" s="286" t="s">
        <v>114</v>
      </c>
      <c r="B34" s="196" t="s">
        <v>109</v>
      </c>
      <c r="C34" s="197">
        <v>421.55880000000002</v>
      </c>
      <c r="D34" s="197">
        <v>146.5548</v>
      </c>
      <c r="E34" s="197">
        <v>421.55880000000002</v>
      </c>
      <c r="F34" s="197">
        <v>146.5548</v>
      </c>
      <c r="G34" s="197">
        <v>37.33</v>
      </c>
      <c r="H34" s="197" t="s">
        <v>152</v>
      </c>
      <c r="I34" s="197" t="s">
        <v>152</v>
      </c>
      <c r="J34" s="198">
        <v>123.79600000000001</v>
      </c>
      <c r="K34" s="198">
        <v>86.466000000000008</v>
      </c>
      <c r="L34" s="198">
        <v>37.139600000000002</v>
      </c>
      <c r="O34" s="203" t="s">
        <v>110</v>
      </c>
      <c r="P34" s="203" t="s">
        <v>150</v>
      </c>
      <c r="Q34" s="204">
        <v>19072</v>
      </c>
      <c r="R34" s="204">
        <v>18975</v>
      </c>
      <c r="S34" s="204">
        <v>9113</v>
      </c>
      <c r="T34" s="204">
        <v>47160</v>
      </c>
      <c r="U34" s="205">
        <v>1.6341306509152582</v>
      </c>
      <c r="V34" s="205">
        <v>0.38396007563795154</v>
      </c>
      <c r="W34" s="206">
        <v>1.3693840595764541</v>
      </c>
      <c r="X34" s="206">
        <v>1.4332830101033562</v>
      </c>
      <c r="Y34" s="206">
        <v>0.3913598885146905</v>
      </c>
      <c r="Z34" s="211">
        <v>26.473919516867486</v>
      </c>
      <c r="AA34" s="211">
        <v>0</v>
      </c>
      <c r="AB34" s="208">
        <v>42604</v>
      </c>
      <c r="AC34" s="209">
        <v>1277137.0575999999</v>
      </c>
      <c r="AD34" s="210">
        <v>37.6188</v>
      </c>
      <c r="AE34" s="210">
        <v>17.070799999999998</v>
      </c>
      <c r="AF34" s="204">
        <v>241109</v>
      </c>
      <c r="AG34" s="204">
        <v>38047</v>
      </c>
      <c r="AH34" s="203"/>
      <c r="AI34">
        <v>8</v>
      </c>
    </row>
    <row r="35" spans="1:35" x14ac:dyDescent="0.2">
      <c r="A35" s="287"/>
      <c r="B35" s="174" t="s">
        <v>110</v>
      </c>
      <c r="C35" s="197">
        <v>421.55880000000002</v>
      </c>
      <c r="D35" s="197">
        <v>109.46080000000001</v>
      </c>
      <c r="E35" s="197">
        <v>421.55880000000002</v>
      </c>
      <c r="F35" s="197">
        <v>109.46080000000001</v>
      </c>
      <c r="G35" s="197">
        <v>27.881599999999999</v>
      </c>
      <c r="H35" s="197" t="s">
        <v>152</v>
      </c>
      <c r="I35" s="197" t="s">
        <v>152</v>
      </c>
      <c r="J35" s="198">
        <v>110.372</v>
      </c>
      <c r="K35" s="198">
        <v>82.490399999999994</v>
      </c>
      <c r="L35" s="198">
        <v>54.048000000000002</v>
      </c>
      <c r="O35" s="203" t="s">
        <v>110</v>
      </c>
      <c r="P35" s="203" t="s">
        <v>151</v>
      </c>
      <c r="Q35" s="204">
        <v>41038</v>
      </c>
      <c r="R35" s="204">
        <v>44041</v>
      </c>
      <c r="S35" s="204">
        <v>17115</v>
      </c>
      <c r="T35" s="204">
        <v>102194</v>
      </c>
      <c r="U35" s="205">
        <v>2.756102820346948</v>
      </c>
      <c r="V35" s="205">
        <v>0.64624833627042022</v>
      </c>
      <c r="W35" s="206">
        <v>1.6961761576686056</v>
      </c>
      <c r="X35" s="206">
        <v>2.5682859488097902</v>
      </c>
      <c r="Y35" s="206">
        <v>0.68562047608387433</v>
      </c>
      <c r="Z35" s="211">
        <v>27.5</v>
      </c>
      <c r="AA35" s="211">
        <v>0</v>
      </c>
      <c r="AB35" s="208">
        <v>93637</v>
      </c>
      <c r="AC35" s="209">
        <v>5448307.5476000011</v>
      </c>
      <c r="AD35" s="210">
        <v>65.906800000000004</v>
      </c>
      <c r="AE35" s="210">
        <v>17.617999999999999</v>
      </c>
      <c r="AF35" s="204">
        <v>450288</v>
      </c>
      <c r="AG35" s="204">
        <v>85079</v>
      </c>
      <c r="AH35" s="203"/>
      <c r="AI35">
        <v>2</v>
      </c>
    </row>
    <row r="36" spans="1:35" x14ac:dyDescent="0.2">
      <c r="A36" s="286" t="s">
        <v>115</v>
      </c>
      <c r="B36" s="221" t="s">
        <v>109</v>
      </c>
      <c r="C36" s="197">
        <v>452.10640000000001</v>
      </c>
      <c r="D36" s="197">
        <v>252.55680000000001</v>
      </c>
      <c r="E36" s="197">
        <v>452.10640000000001</v>
      </c>
      <c r="F36" s="197">
        <v>252.55680000000001</v>
      </c>
      <c r="G36" s="197">
        <v>64.331199999999995</v>
      </c>
      <c r="H36" s="197" t="s">
        <v>152</v>
      </c>
      <c r="I36" s="197" t="s">
        <v>152</v>
      </c>
      <c r="J36" s="198">
        <v>167.22399999999999</v>
      </c>
      <c r="K36" s="198">
        <v>102.89279999999999</v>
      </c>
      <c r="L36" s="198">
        <v>43.842799999999997</v>
      </c>
      <c r="O36" s="203" t="s">
        <v>110</v>
      </c>
      <c r="P36" s="203" t="s">
        <v>153</v>
      </c>
      <c r="Q36" s="204">
        <v>40501</v>
      </c>
      <c r="R36" s="204">
        <v>43597</v>
      </c>
      <c r="S36" s="204">
        <v>10901</v>
      </c>
      <c r="T36" s="204">
        <v>94999</v>
      </c>
      <c r="U36" s="205">
        <v>4.6155611015175459</v>
      </c>
      <c r="V36" s="205">
        <v>1.3917245840020014</v>
      </c>
      <c r="W36" s="206">
        <v>2.8310368149658234</v>
      </c>
      <c r="X36" s="206">
        <v>4.3372462704817805</v>
      </c>
      <c r="Y36" s="206">
        <v>1.4948887258498409</v>
      </c>
      <c r="Z36" s="211">
        <v>27.5</v>
      </c>
      <c r="AA36" s="211">
        <v>0</v>
      </c>
      <c r="AB36" s="208">
        <v>89549</v>
      </c>
      <c r="AC36" s="209">
        <v>8754469.5463999994</v>
      </c>
      <c r="AD36" s="210">
        <v>110.372</v>
      </c>
      <c r="AE36" s="210">
        <v>27.881599999999999</v>
      </c>
      <c r="AF36" s="204">
        <v>480432</v>
      </c>
      <c r="AG36" s="204">
        <v>84098</v>
      </c>
      <c r="AH36" s="203"/>
      <c r="AI36">
        <v>2</v>
      </c>
    </row>
    <row r="37" spans="1:35" x14ac:dyDescent="0.2">
      <c r="A37" s="287"/>
      <c r="B37" s="174" t="s">
        <v>110</v>
      </c>
      <c r="C37" s="197">
        <v>452.10640000000001</v>
      </c>
      <c r="D37" s="197">
        <v>217.80279999999999</v>
      </c>
      <c r="E37" s="197">
        <v>452.10640000000001</v>
      </c>
      <c r="F37" s="197">
        <v>217.80279999999999</v>
      </c>
      <c r="G37" s="197">
        <v>55.478400000000001</v>
      </c>
      <c r="H37" s="197" t="s">
        <v>152</v>
      </c>
      <c r="I37" s="197" t="s">
        <v>152</v>
      </c>
      <c r="J37" s="198">
        <v>159.53479999999999</v>
      </c>
      <c r="K37" s="198">
        <v>104.0564</v>
      </c>
      <c r="L37" s="198">
        <v>63.821599999999997</v>
      </c>
      <c r="O37" s="203" t="s">
        <v>110</v>
      </c>
      <c r="P37" s="203" t="s">
        <v>115</v>
      </c>
      <c r="Q37" s="204">
        <v>36500</v>
      </c>
      <c r="R37" s="204">
        <v>81300</v>
      </c>
      <c r="S37" s="204">
        <v>15901</v>
      </c>
      <c r="T37" s="204">
        <v>133701</v>
      </c>
      <c r="U37" s="205">
        <v>6.6714500806118506</v>
      </c>
      <c r="V37" s="205">
        <v>2.14324925717179</v>
      </c>
      <c r="W37" s="206">
        <v>5.0136418892433801</v>
      </c>
      <c r="X37" s="206">
        <v>6.3705941591137965</v>
      </c>
      <c r="Y37" s="206">
        <v>2.5002824650603004</v>
      </c>
      <c r="Z37" s="211">
        <v>27.5</v>
      </c>
      <c r="AA37" s="211">
        <v>0</v>
      </c>
      <c r="AB37" s="208">
        <v>125751</v>
      </c>
      <c r="AC37" s="209">
        <v>18036699.0348</v>
      </c>
      <c r="AD37" s="210">
        <v>159.53479999999999</v>
      </c>
      <c r="AE37" s="210">
        <v>55.478400000000001</v>
      </c>
      <c r="AF37" s="222">
        <v>213090</v>
      </c>
      <c r="AG37" s="222">
        <v>117800</v>
      </c>
      <c r="AH37" s="223"/>
      <c r="AI37">
        <v>2</v>
      </c>
    </row>
    <row r="38" spans="1:35" x14ac:dyDescent="0.2">
      <c r="A38" s="219"/>
      <c r="B38" s="220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Q38" s="201"/>
      <c r="R38" s="201"/>
      <c r="S38" s="201"/>
      <c r="T38" s="201"/>
      <c r="U38" s="217"/>
      <c r="V38" s="217"/>
      <c r="W38" s="217"/>
      <c r="X38" s="217"/>
      <c r="Y38" s="217"/>
      <c r="Z38" s="218"/>
      <c r="AA38" s="218"/>
      <c r="AB38" s="201"/>
      <c r="AC38" s="214"/>
      <c r="AD38" s="200"/>
      <c r="AE38" s="200"/>
      <c r="AF38" s="201"/>
      <c r="AG38" s="201"/>
    </row>
    <row r="39" spans="1:35" x14ac:dyDescent="0.2">
      <c r="A39" s="219"/>
      <c r="B39" s="220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Q39" s="201"/>
      <c r="R39" s="201"/>
      <c r="S39" s="201"/>
      <c r="T39" s="201"/>
      <c r="U39" s="217"/>
      <c r="V39" s="217"/>
      <c r="W39" s="217"/>
      <c r="X39" s="217"/>
      <c r="Y39" s="217"/>
      <c r="Z39" s="218"/>
      <c r="AA39" s="218"/>
      <c r="AB39" s="201"/>
      <c r="AC39" s="214"/>
      <c r="AD39" s="200"/>
      <c r="AE39" s="200"/>
      <c r="AF39" s="201"/>
      <c r="AG39" s="201"/>
    </row>
    <row r="40" spans="1:35" x14ac:dyDescent="0.2">
      <c r="O40" s="247" t="s">
        <v>154</v>
      </c>
      <c r="P40" t="s">
        <v>155</v>
      </c>
      <c r="Q40" t="s">
        <v>156</v>
      </c>
      <c r="R40" t="s">
        <v>157</v>
      </c>
      <c r="S40" s="247" t="s">
        <v>158</v>
      </c>
      <c r="T40" t="s">
        <v>159</v>
      </c>
    </row>
    <row r="41" spans="1:35" x14ac:dyDescent="0.2">
      <c r="A41" t="s">
        <v>108</v>
      </c>
      <c r="C41" s="201">
        <f>SUM(C7:F8)</f>
        <v>193555</v>
      </c>
      <c r="O41" s="215">
        <v>0</v>
      </c>
      <c r="P41" s="214">
        <v>0</v>
      </c>
      <c r="R41" s="214"/>
      <c r="S41" s="214">
        <v>0</v>
      </c>
      <c r="W41" s="213">
        <f t="shared" ref="W41:W46" si="0">(W26*AF26+W32*AF32)/(AF26+AF32)</f>
        <v>3.7733510777297545</v>
      </c>
      <c r="X41" s="213"/>
      <c r="Z41" t="s">
        <v>108</v>
      </c>
    </row>
    <row r="42" spans="1:35" x14ac:dyDescent="0.2">
      <c r="A42" t="s">
        <v>111</v>
      </c>
      <c r="C42" s="201">
        <f>SUM(C9:F10)</f>
        <v>409055</v>
      </c>
      <c r="O42" s="215">
        <v>0</v>
      </c>
      <c r="P42" s="214">
        <v>0</v>
      </c>
      <c r="R42" s="214"/>
      <c r="S42" s="214">
        <v>0</v>
      </c>
      <c r="W42" s="213">
        <f t="shared" si="0"/>
        <v>1.8227310964996926</v>
      </c>
      <c r="X42" s="213"/>
      <c r="Z42" t="s">
        <v>111</v>
      </c>
    </row>
    <row r="43" spans="1:35" x14ac:dyDescent="0.2">
      <c r="A43" t="s">
        <v>112</v>
      </c>
      <c r="C43" s="201">
        <f>SUM(C11:F12)</f>
        <v>303732</v>
      </c>
      <c r="D43" s="201">
        <f>SUM(G11:J12)</f>
        <v>46133</v>
      </c>
      <c r="J43" s="200">
        <f>SUMPRODUCT(J30:J31,I11:I12)/SUM(I11:I12)</f>
        <v>51.372802932015645</v>
      </c>
      <c r="K43" s="200"/>
      <c r="L43" s="200">
        <f>SUMPRODUCT(L30:L31,I11:I12)/SUM(I11:I12)</f>
        <v>0</v>
      </c>
      <c r="M43" s="200">
        <f>SUM(J43,L43)</f>
        <v>51.372802932015645</v>
      </c>
      <c r="O43" s="215">
        <v>46133</v>
      </c>
      <c r="P43" s="214">
        <v>2080601.2208</v>
      </c>
      <c r="R43" s="214"/>
      <c r="S43" s="214">
        <v>2080601.2208</v>
      </c>
      <c r="W43" s="213">
        <f t="shared" si="0"/>
        <v>1.8872685417947064</v>
      </c>
      <c r="X43" s="213">
        <f>(X28*AG28+X34*AG34)/(AG28+AG34)</f>
        <v>1.9717245642665497</v>
      </c>
      <c r="Z43" t="s">
        <v>112</v>
      </c>
    </row>
    <row r="44" spans="1:35" x14ac:dyDescent="0.2">
      <c r="A44" t="s">
        <v>113</v>
      </c>
      <c r="C44" s="201">
        <f>SUM(C13:F14)</f>
        <v>654048</v>
      </c>
      <c r="D44" s="201">
        <f>SUM(G13:J14)</f>
        <v>116889</v>
      </c>
      <c r="J44" s="200">
        <f>SUMPRODUCT(J32:J33,I13:I14)/SUM(I13:I14)</f>
        <v>77.195398234993263</v>
      </c>
      <c r="K44" s="200"/>
      <c r="L44" s="200">
        <f>SUMPRODUCT(L32:L33,I13:I14)/SUM(I13:I14)</f>
        <v>8.9798855851583212</v>
      </c>
      <c r="M44" s="200">
        <f>SUM(J44,L44)</f>
        <v>86.175283820151577</v>
      </c>
      <c r="O44" s="215">
        <v>116889</v>
      </c>
      <c r="P44" s="214">
        <v>9317145.4392267019</v>
      </c>
      <c r="R44" s="214"/>
      <c r="S44" s="214">
        <v>8273538.6732000001</v>
      </c>
      <c r="W44" s="213">
        <f t="shared" si="0"/>
        <v>2.1880706742186162</v>
      </c>
      <c r="X44" s="213">
        <f>(X29*AG29+X35*AG35)/(AG29+AG35)</f>
        <v>2.9608939969665684</v>
      </c>
      <c r="Z44" t="s">
        <v>113</v>
      </c>
    </row>
    <row r="45" spans="1:35" x14ac:dyDescent="0.2">
      <c r="A45" t="s">
        <v>114</v>
      </c>
      <c r="C45" s="201">
        <f>SUM(C15:F16)</f>
        <v>743551</v>
      </c>
      <c r="D45" s="201">
        <f>SUM(G15:J16)</f>
        <v>104099</v>
      </c>
      <c r="J45" s="200">
        <f>SUMPRODUCT(J34:J35,I15:I16)/SUM(I15:I16)</f>
        <v>118.17207125641832</v>
      </c>
      <c r="K45" s="200"/>
      <c r="L45" s="200">
        <f>SUMPRODUCT(L34:L35,I15:I16)/SUM(I15:I16)</f>
        <v>44.223303573299802</v>
      </c>
      <c r="M45" s="200">
        <f>SUM(J45,L45)</f>
        <v>162.39537482971812</v>
      </c>
      <c r="O45" s="215">
        <v>104099</v>
      </c>
      <c r="P45" s="214">
        <v>16142520.665410627</v>
      </c>
      <c r="R45" s="214"/>
      <c r="S45" s="214">
        <v>11539174.703200001</v>
      </c>
      <c r="W45" s="213">
        <f>(W30*AF30+W36*AF36)/(AF30+AF36)</f>
        <v>3.0819387613981899</v>
      </c>
      <c r="X45" s="213">
        <f>(X30*AG30+X36*AG36)/(AG30+AG36)</f>
        <v>4.6315624200217229</v>
      </c>
      <c r="Z45" t="s">
        <v>114</v>
      </c>
    </row>
    <row r="46" spans="1:35" x14ac:dyDescent="0.2">
      <c r="A46" t="s">
        <v>115</v>
      </c>
      <c r="C46" s="201">
        <f>SUM(C17:F18)</f>
        <v>338700</v>
      </c>
      <c r="D46" s="201">
        <f>SUM(G17:J18)</f>
        <v>202105</v>
      </c>
      <c r="J46" s="200">
        <f>SUMPRODUCT(J36:J37,I17:I18)/SUM(I17:I18)</f>
        <v>164.13529302687877</v>
      </c>
      <c r="K46" s="200"/>
      <c r="L46" s="200">
        <f>SUMPRODUCT(L36:L37,I17:I18)/SUM(I17:I18)</f>
        <v>51.86816790232978</v>
      </c>
      <c r="M46" s="200">
        <f>SUM(J46,L46)</f>
        <v>216.00346092920856</v>
      </c>
      <c r="O46" s="215">
        <v>202105</v>
      </c>
      <c r="P46" s="214">
        <v>41985246.254326768</v>
      </c>
      <c r="R46" s="214"/>
      <c r="S46" s="214">
        <v>31500153.025999997</v>
      </c>
      <c r="W46" s="213">
        <f t="shared" si="0"/>
        <v>5.1579378383108994</v>
      </c>
      <c r="X46" s="213">
        <f>(X31*AG31+X37*AG37)/(AG31+AG37)</f>
        <v>6.5147183462456448</v>
      </c>
      <c r="Z46" t="s">
        <v>115</v>
      </c>
    </row>
    <row r="47" spans="1:35" x14ac:dyDescent="0.2">
      <c r="V47" t="s">
        <v>160</v>
      </c>
      <c r="W47" t="s">
        <v>161</v>
      </c>
      <c r="X47" t="s">
        <v>103</v>
      </c>
      <c r="Z47" t="s">
        <v>162</v>
      </c>
      <c r="AA47" t="s">
        <v>163</v>
      </c>
    </row>
    <row r="48" spans="1:35" x14ac:dyDescent="0.2">
      <c r="A48" t="s">
        <v>164</v>
      </c>
      <c r="C48">
        <f>C41+0.1*C42</f>
        <v>234460.5</v>
      </c>
      <c r="D48">
        <f>D41+0.1*D42</f>
        <v>0</v>
      </c>
      <c r="F48">
        <f>ROUND(C48,0)</f>
        <v>234461</v>
      </c>
      <c r="G48">
        <f>ROUND(D48,0)</f>
        <v>0</v>
      </c>
      <c r="O48" s="215">
        <v>0</v>
      </c>
      <c r="P48" s="214">
        <f>P41+0.1*P42</f>
        <v>0</v>
      </c>
      <c r="Q48" t="e">
        <f>IF(O48=0,NA(),P48/O48)</f>
        <v>#N/A</v>
      </c>
      <c r="R48" s="214"/>
      <c r="S48" s="214">
        <f>S41+0.1*S42</f>
        <v>0</v>
      </c>
      <c r="T48" t="e">
        <f>IF(O48=0,NA(),S48/O48)</f>
        <v>#N/A</v>
      </c>
      <c r="V48" s="213">
        <v>3.4350198174160571</v>
      </c>
      <c r="W48" s="213">
        <f>(W26*AF26+W32*AF32+0.1*(W27*AF27+W33*AF33))/(AF26+AF32+0.1*(AF27+AF33))</f>
        <v>3.433191162724905</v>
      </c>
      <c r="AA48">
        <v>0</v>
      </c>
      <c r="AB48" s="231" t="s">
        <v>164</v>
      </c>
      <c r="AD48" s="213"/>
    </row>
    <row r="49" spans="1:28" x14ac:dyDescent="0.2">
      <c r="A49" t="s">
        <v>165</v>
      </c>
      <c r="C49">
        <f>0.8*C42</f>
        <v>327244</v>
      </c>
      <c r="D49">
        <f>0.8*D42</f>
        <v>0</v>
      </c>
      <c r="F49">
        <f t="shared" ref="F49:F54" si="1">ROUND(C49,0)</f>
        <v>327244</v>
      </c>
      <c r="G49">
        <f t="shared" ref="G49:G54" si="2">ROUND(D49,0)</f>
        <v>0</v>
      </c>
      <c r="O49" s="215">
        <v>0</v>
      </c>
      <c r="P49" s="214">
        <f>0.8*P42</f>
        <v>0</v>
      </c>
      <c r="Q49" t="e">
        <f t="shared" ref="Q49:Q54" si="3">IF(O49=0,NA(),P49/O49)</f>
        <v>#N/A</v>
      </c>
      <c r="R49" s="214"/>
      <c r="S49" s="214">
        <f>0.8*S42</f>
        <v>0</v>
      </c>
      <c r="T49" t="e">
        <f t="shared" ref="T49:T54" si="4">IF(O49=0,NA(),S49/O49)</f>
        <v>#N/A</v>
      </c>
      <c r="V49" s="213">
        <v>1.8227309494872304</v>
      </c>
      <c r="W49" s="213">
        <f>W42</f>
        <v>1.8227310964996926</v>
      </c>
      <c r="AA49">
        <v>0</v>
      </c>
      <c r="AB49" s="231" t="s">
        <v>165</v>
      </c>
    </row>
    <row r="50" spans="1:28" ht="15" x14ac:dyDescent="0.25">
      <c r="A50" s="247" t="s">
        <v>166</v>
      </c>
      <c r="C50">
        <f>0.1*C42+0.3*C43</f>
        <v>132025.09999999998</v>
      </c>
      <c r="D50">
        <f>0.1*D42+0.3*D43</f>
        <v>13839.9</v>
      </c>
      <c r="F50">
        <f t="shared" si="1"/>
        <v>132025</v>
      </c>
      <c r="G50">
        <f t="shared" si="2"/>
        <v>13840</v>
      </c>
      <c r="M50" s="200">
        <f>M43</f>
        <v>51.372802932015645</v>
      </c>
      <c r="O50" s="215">
        <f>0.1*O42+0.3*O43</f>
        <v>13839.9</v>
      </c>
      <c r="P50" s="214">
        <f>0.1*P42+0.3*P43</f>
        <v>624180.36624</v>
      </c>
      <c r="Q50">
        <f t="shared" si="3"/>
        <v>45.100063312596191</v>
      </c>
      <c r="R50" s="214"/>
      <c r="S50" s="214">
        <f>0.1*S42+0.3*S43</f>
        <v>624180.36624</v>
      </c>
      <c r="T50">
        <f t="shared" si="4"/>
        <v>45.100063312596191</v>
      </c>
      <c r="V50" s="213">
        <v>1.8862183029621937</v>
      </c>
      <c r="W50" s="213">
        <f>(0.1*(W27*AF27+W33*AF33)+0.3*(W28*AF28+W34*AF34))/(0.1*(AF27+AF33)+0.3*(AF28+AF34))</f>
        <v>1.8675034361939837</v>
      </c>
      <c r="X50" s="230">
        <f>(0.1*(X27*AG27+X33*AG33)+0.3*(X28*AG28+X34*AG34))/(0.1*(AG27+AG33)+0.3*(AG28+AG34))</f>
        <v>1.97172456426655</v>
      </c>
      <c r="AA50">
        <f>IF($AA$47="Yes",Q50,T50)</f>
        <v>45.100063312596191</v>
      </c>
      <c r="AB50" s="260" t="s">
        <v>166</v>
      </c>
    </row>
    <row r="51" spans="1:28" ht="15" x14ac:dyDescent="0.25">
      <c r="A51" s="247" t="s">
        <v>167</v>
      </c>
      <c r="C51">
        <f>0.7*C43</f>
        <v>212612.4</v>
      </c>
      <c r="D51">
        <f>0.7*D43</f>
        <v>32293.1</v>
      </c>
      <c r="F51">
        <f t="shared" si="1"/>
        <v>212612</v>
      </c>
      <c r="G51">
        <f t="shared" si="2"/>
        <v>32293</v>
      </c>
      <c r="M51" s="200">
        <f>M43</f>
        <v>51.372802932015645</v>
      </c>
      <c r="O51" s="215">
        <f>0.7*O43</f>
        <v>32293.1</v>
      </c>
      <c r="P51" s="214">
        <f>0.7*P43</f>
        <v>1456420.8545599999</v>
      </c>
      <c r="Q51">
        <f t="shared" si="3"/>
        <v>45.100063312596191</v>
      </c>
      <c r="R51" s="214"/>
      <c r="S51" s="214">
        <f>0.7*S43</f>
        <v>1456420.8545599999</v>
      </c>
      <c r="T51">
        <f t="shared" si="4"/>
        <v>45.100063312596191</v>
      </c>
      <c r="V51" s="213">
        <v>1.9323332345723627</v>
      </c>
      <c r="W51" s="213">
        <f>W43</f>
        <v>1.8872685417947064</v>
      </c>
      <c r="X51" s="230">
        <f>X43</f>
        <v>1.9717245642665497</v>
      </c>
      <c r="AA51">
        <f>IF($AA$47="Yes",Q51,T51)</f>
        <v>45.100063312596191</v>
      </c>
      <c r="AB51" s="260" t="s">
        <v>167</v>
      </c>
    </row>
    <row r="52" spans="1:28" ht="15" x14ac:dyDescent="0.25">
      <c r="A52" t="s">
        <v>113</v>
      </c>
      <c r="C52" s="201">
        <f t="shared" ref="C52:D54" si="5">C44</f>
        <v>654048</v>
      </c>
      <c r="D52" s="201">
        <f t="shared" si="5"/>
        <v>116889</v>
      </c>
      <c r="F52">
        <f t="shared" si="1"/>
        <v>654048</v>
      </c>
      <c r="G52">
        <f t="shared" si="2"/>
        <v>116889</v>
      </c>
      <c r="M52" s="200">
        <f>M44</f>
        <v>86.175283820151577</v>
      </c>
      <c r="O52" s="215">
        <f t="shared" ref="O52:P54" si="6">O44</f>
        <v>116889</v>
      </c>
      <c r="P52" s="214">
        <f t="shared" si="6"/>
        <v>9317145.4392267019</v>
      </c>
      <c r="Q52">
        <f t="shared" si="3"/>
        <v>79.709343387544607</v>
      </c>
      <c r="R52" s="214"/>
      <c r="S52" s="214">
        <f>S44</f>
        <v>8273538.6732000001</v>
      </c>
      <c r="T52">
        <f t="shared" si="4"/>
        <v>70.781157108025567</v>
      </c>
      <c r="V52" s="213">
        <v>2.2886342681024749</v>
      </c>
      <c r="W52" s="213">
        <f t="shared" ref="W52:X54" si="7">W44</f>
        <v>2.1880706742186162</v>
      </c>
      <c r="X52" s="230">
        <f t="shared" si="7"/>
        <v>2.9608939969665684</v>
      </c>
      <c r="AA52">
        <f>IF($AA$47="Yes",Q52,T52)</f>
        <v>79.709343387544607</v>
      </c>
      <c r="AB52" s="231" t="s">
        <v>113</v>
      </c>
    </row>
    <row r="53" spans="1:28" ht="15" x14ac:dyDescent="0.25">
      <c r="A53" t="s">
        <v>114</v>
      </c>
      <c r="C53" s="201">
        <f t="shared" si="5"/>
        <v>743551</v>
      </c>
      <c r="D53" s="201">
        <f t="shared" si="5"/>
        <v>104099</v>
      </c>
      <c r="F53">
        <f t="shared" si="1"/>
        <v>743551</v>
      </c>
      <c r="G53">
        <f t="shared" si="2"/>
        <v>104099</v>
      </c>
      <c r="M53" s="200">
        <f>M45</f>
        <v>162.39537482971812</v>
      </c>
      <c r="O53" s="215">
        <f t="shared" si="6"/>
        <v>104099</v>
      </c>
      <c r="P53" s="214">
        <f t="shared" si="6"/>
        <v>16142520.665410627</v>
      </c>
      <c r="Q53">
        <f t="shared" si="3"/>
        <v>155.06893116562722</v>
      </c>
      <c r="R53" s="214"/>
      <c r="S53" s="214">
        <f>S45</f>
        <v>11539174.703200001</v>
      </c>
      <c r="T53">
        <f t="shared" si="4"/>
        <v>110.84808406612937</v>
      </c>
      <c r="V53" s="213">
        <v>3.2408847711565083</v>
      </c>
      <c r="W53" s="213">
        <f t="shared" si="7"/>
        <v>3.0819387613981899</v>
      </c>
      <c r="X53" s="230">
        <f t="shared" si="7"/>
        <v>4.6315624200217229</v>
      </c>
      <c r="AA53">
        <f>IF($AA$47="Yes",Q53,T53)</f>
        <v>155.06893116562722</v>
      </c>
      <c r="AB53" s="231" t="s">
        <v>114</v>
      </c>
    </row>
    <row r="54" spans="1:28" ht="15" x14ac:dyDescent="0.25">
      <c r="A54" t="s">
        <v>115</v>
      </c>
      <c r="C54" s="201">
        <f t="shared" si="5"/>
        <v>338700</v>
      </c>
      <c r="D54" s="201">
        <f t="shared" si="5"/>
        <v>202105</v>
      </c>
      <c r="F54">
        <f t="shared" si="1"/>
        <v>338700</v>
      </c>
      <c r="G54">
        <f t="shared" si="2"/>
        <v>202105</v>
      </c>
      <c r="M54" s="200">
        <f>M46</f>
        <v>216.00346092920856</v>
      </c>
      <c r="O54" s="215">
        <f t="shared" si="6"/>
        <v>202105</v>
      </c>
      <c r="P54" s="214">
        <f t="shared" si="6"/>
        <v>41985246.254326768</v>
      </c>
      <c r="Q54">
        <f t="shared" si="3"/>
        <v>207.73977019038009</v>
      </c>
      <c r="R54" s="214"/>
      <c r="S54" s="214">
        <f>S46</f>
        <v>31500153.025999997</v>
      </c>
      <c r="T54">
        <f t="shared" si="4"/>
        <v>155.86033510304048</v>
      </c>
      <c r="V54" s="213">
        <v>5.6141268569522138</v>
      </c>
      <c r="W54" s="213">
        <f t="shared" si="7"/>
        <v>5.1579378383108994</v>
      </c>
      <c r="X54" s="230">
        <f t="shared" si="7"/>
        <v>6.5147183462456448</v>
      </c>
      <c r="AA54">
        <f>IF($AA$47="Yes",Q54,T54)</f>
        <v>207.73977019038009</v>
      </c>
      <c r="AB54" s="231" t="s">
        <v>115</v>
      </c>
    </row>
    <row r="58" spans="1:28" x14ac:dyDescent="0.2">
      <c r="F58">
        <f>SUM(F51:F54)</f>
        <v>1948911</v>
      </c>
      <c r="G58">
        <f>SUM(G51:G54)</f>
        <v>455386</v>
      </c>
    </row>
    <row r="59" spans="1:28" x14ac:dyDescent="0.2">
      <c r="F59">
        <f>G58/F58</f>
        <v>0.23366177316460321</v>
      </c>
      <c r="O59">
        <v>0</v>
      </c>
      <c r="P59">
        <v>0</v>
      </c>
      <c r="Q59">
        <f t="shared" ref="Q59:Q64" si="8">SUM(O59:P59)</f>
        <v>0</v>
      </c>
      <c r="V59">
        <v>0</v>
      </c>
      <c r="W59">
        <v>0</v>
      </c>
      <c r="X59">
        <f t="shared" ref="X59:X64" si="9">SUM(V59:W59)</f>
        <v>0</v>
      </c>
    </row>
    <row r="60" spans="1:28" x14ac:dyDescent="0.2">
      <c r="O60">
        <v>0</v>
      </c>
      <c r="P60">
        <v>0</v>
      </c>
      <c r="Q60">
        <f t="shared" si="8"/>
        <v>0</v>
      </c>
      <c r="V60">
        <v>0</v>
      </c>
      <c r="W60">
        <v>0</v>
      </c>
      <c r="X60">
        <f t="shared" si="9"/>
        <v>0</v>
      </c>
    </row>
    <row r="61" spans="1:28" x14ac:dyDescent="0.2">
      <c r="O61">
        <v>1524476.3088</v>
      </c>
      <c r="P61">
        <v>647396.64</v>
      </c>
      <c r="Q61">
        <f t="shared" si="8"/>
        <v>2171872.9487999999</v>
      </c>
      <c r="V61">
        <v>-790404.17599999998</v>
      </c>
      <c r="W61">
        <v>-277721.48479999992</v>
      </c>
      <c r="X61">
        <f t="shared" si="9"/>
        <v>-1068125.6608</v>
      </c>
    </row>
    <row r="62" spans="1:28" x14ac:dyDescent="0.2">
      <c r="O62">
        <v>5688700.3200000003</v>
      </c>
      <c r="P62">
        <v>3787807.8624</v>
      </c>
      <c r="Q62">
        <f t="shared" si="8"/>
        <v>9476508.1823999994</v>
      </c>
      <c r="V62">
        <v>-1630826.7012000002</v>
      </c>
      <c r="W62">
        <v>-639258.55119999999</v>
      </c>
      <c r="X62">
        <f t="shared" si="9"/>
        <v>-2270085.2524000001</v>
      </c>
    </row>
    <row r="63" spans="1:28" x14ac:dyDescent="0.2">
      <c r="O63">
        <v>9408690.2208000012</v>
      </c>
      <c r="P63">
        <v>6963051.2580000004</v>
      </c>
      <c r="Q63">
        <f t="shared" si="8"/>
        <v>16371741.478800002</v>
      </c>
      <c r="V63">
        <v>-1682594.3124000002</v>
      </c>
      <c r="W63">
        <v>-954612.13160000008</v>
      </c>
      <c r="X63">
        <f t="shared" si="9"/>
        <v>-2637206.4440000001</v>
      </c>
    </row>
    <row r="64" spans="1:28" x14ac:dyDescent="0.2">
      <c r="O64">
        <v>24802087.973999999</v>
      </c>
      <c r="P64">
        <v>17839041.119999997</v>
      </c>
      <c r="Q64">
        <f t="shared" si="8"/>
        <v>42641129.093999997</v>
      </c>
      <c r="V64">
        <v>-2352888.6223999998</v>
      </c>
      <c r="W64">
        <v>-1614862.4388000001</v>
      </c>
      <c r="X64">
        <f t="shared" si="9"/>
        <v>-3967751.0611999999</v>
      </c>
    </row>
    <row r="65" spans="15:24" x14ac:dyDescent="0.2">
      <c r="R65" t="s">
        <v>168</v>
      </c>
    </row>
    <row r="66" spans="15:24" x14ac:dyDescent="0.2">
      <c r="R66" t="s">
        <v>169</v>
      </c>
      <c r="V66" t="s">
        <v>158</v>
      </c>
    </row>
    <row r="67" spans="15:24" x14ac:dyDescent="0.2">
      <c r="R67" t="s">
        <v>170</v>
      </c>
      <c r="S67" t="s">
        <v>171</v>
      </c>
      <c r="T67" t="s">
        <v>172</v>
      </c>
      <c r="V67" t="s">
        <v>170</v>
      </c>
      <c r="W67" t="s">
        <v>171</v>
      </c>
      <c r="X67" t="s">
        <v>172</v>
      </c>
    </row>
    <row r="68" spans="15:24" x14ac:dyDescent="0.2">
      <c r="O68">
        <v>0</v>
      </c>
      <c r="P68">
        <v>0</v>
      </c>
      <c r="R68">
        <v>0</v>
      </c>
      <c r="S68">
        <v>0</v>
      </c>
      <c r="T68">
        <f t="shared" ref="T68:T73" si="10">SUM(R68:S68)</f>
        <v>0</v>
      </c>
      <c r="V68">
        <v>0</v>
      </c>
      <c r="W68">
        <v>0</v>
      </c>
      <c r="X68">
        <f t="shared" ref="X68:X73" si="11">SUM(V68:W68)</f>
        <v>0</v>
      </c>
    </row>
    <row r="69" spans="15:24" x14ac:dyDescent="0.2">
      <c r="O69">
        <v>0</v>
      </c>
      <c r="P69">
        <v>0</v>
      </c>
      <c r="R69">
        <v>0</v>
      </c>
      <c r="S69">
        <v>0</v>
      </c>
      <c r="T69">
        <f t="shared" si="10"/>
        <v>0</v>
      </c>
      <c r="V69">
        <v>0</v>
      </c>
      <c r="W69">
        <v>0</v>
      </c>
      <c r="X69">
        <f t="shared" si="11"/>
        <v>0</v>
      </c>
    </row>
    <row r="70" spans="15:24" x14ac:dyDescent="0.2">
      <c r="O70">
        <v>27158</v>
      </c>
      <c r="P70">
        <v>18975</v>
      </c>
      <c r="R70">
        <v>1454517.3008000001</v>
      </c>
      <c r="S70">
        <v>626083.91999999993</v>
      </c>
      <c r="T70">
        <f t="shared" si="10"/>
        <v>2080601.2208</v>
      </c>
      <c r="V70">
        <v>1454517.3008000001</v>
      </c>
      <c r="W70">
        <v>626083.91999999993</v>
      </c>
      <c r="X70">
        <f t="shared" si="11"/>
        <v>2080601.2208</v>
      </c>
    </row>
    <row r="71" spans="15:24" x14ac:dyDescent="0.2">
      <c r="O71">
        <v>72848</v>
      </c>
      <c r="P71">
        <v>44041</v>
      </c>
      <c r="R71">
        <v>5568734.2335999999</v>
      </c>
      <c r="S71">
        <v>3748411.2056267015</v>
      </c>
      <c r="T71">
        <f t="shared" si="10"/>
        <v>9317145.4392267019</v>
      </c>
      <c r="V71">
        <v>5568734.2335999999</v>
      </c>
      <c r="W71">
        <v>2704804.4395999997</v>
      </c>
      <c r="X71">
        <f t="shared" si="11"/>
        <v>8273538.6732000001</v>
      </c>
    </row>
    <row r="72" spans="15:24" x14ac:dyDescent="0.2">
      <c r="O72">
        <v>60502</v>
      </c>
      <c r="P72">
        <v>43597</v>
      </c>
      <c r="R72">
        <v>9264454.4902140498</v>
      </c>
      <c r="S72">
        <v>6878066.1751965769</v>
      </c>
      <c r="T72">
        <f t="shared" si="10"/>
        <v>16142520.665410627</v>
      </c>
      <c r="V72">
        <v>7017433.3736000005</v>
      </c>
      <c r="W72">
        <v>4521741.3295999998</v>
      </c>
      <c r="X72">
        <f t="shared" si="11"/>
        <v>11539174.703200001</v>
      </c>
    </row>
    <row r="73" spans="15:24" x14ac:dyDescent="0.2">
      <c r="O73">
        <v>120805</v>
      </c>
      <c r="P73">
        <v>81300</v>
      </c>
      <c r="R73">
        <v>24411291.444279093</v>
      </c>
      <c r="S73">
        <v>17573954.810047675</v>
      </c>
      <c r="T73">
        <f t="shared" si="10"/>
        <v>41985246.254326768</v>
      </c>
      <c r="V73">
        <v>19114878.505999997</v>
      </c>
      <c r="W73">
        <v>12385274.52</v>
      </c>
      <c r="X73">
        <f t="shared" si="11"/>
        <v>31500153.025999997</v>
      </c>
    </row>
  </sheetData>
  <mergeCells count="12">
    <mergeCell ref="A7:A8"/>
    <mergeCell ref="A9:A10"/>
    <mergeCell ref="A11:A12"/>
    <mergeCell ref="A13:A14"/>
    <mergeCell ref="A15:A16"/>
    <mergeCell ref="A34:A35"/>
    <mergeCell ref="A36:A37"/>
    <mergeCell ref="A17:A18"/>
    <mergeCell ref="A26:A27"/>
    <mergeCell ref="A28:A29"/>
    <mergeCell ref="A30:A31"/>
    <mergeCell ref="A32:A33"/>
  </mergeCells>
  <pageMargins left="0.7" right="0.7" top="0.75" bottom="0.75" header="0.3" footer="0.3"/>
  <pageSetup paperSize="9" orientation="portrait" r:id="rId1"/>
  <headerFooter>
    <oddHeader>&amp;C&amp;"Calibri"&amp;10&amp;K000000 UNCLASSIFIED&amp;1#_x000D_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4:F36"/>
  <sheetViews>
    <sheetView workbookViewId="0">
      <selection activeCell="K25" sqref="K25"/>
    </sheetView>
  </sheetViews>
  <sheetFormatPr defaultRowHeight="12.75" x14ac:dyDescent="0.2"/>
  <cols>
    <col min="1" max="1" width="22.5703125" bestFit="1" customWidth="1"/>
    <col min="2" max="2" width="12.7109375" customWidth="1"/>
    <col min="4" max="4" width="14.42578125" customWidth="1"/>
    <col min="5" max="5" width="19.7109375" customWidth="1"/>
  </cols>
  <sheetData>
    <row r="4" spans="1:5" x14ac:dyDescent="0.2">
      <c r="A4" t="s">
        <v>173</v>
      </c>
      <c r="B4" s="224">
        <v>13</v>
      </c>
    </row>
    <row r="5" spans="1:5" x14ac:dyDescent="0.2">
      <c r="A5" t="s">
        <v>174</v>
      </c>
      <c r="B5" s="224">
        <v>19.5</v>
      </c>
    </row>
    <row r="10" spans="1:5" x14ac:dyDescent="0.2">
      <c r="A10" s="246" t="s">
        <v>175</v>
      </c>
      <c r="D10" t="s">
        <v>98</v>
      </c>
      <c r="E10" s="247" t="s">
        <v>176</v>
      </c>
    </row>
    <row r="11" spans="1:5" x14ac:dyDescent="0.2">
      <c r="D11" t="s">
        <v>164</v>
      </c>
      <c r="E11" s="218">
        <v>0</v>
      </c>
    </row>
    <row r="12" spans="1:5" x14ac:dyDescent="0.2">
      <c r="D12" t="s">
        <v>165</v>
      </c>
      <c r="E12" s="218">
        <v>0</v>
      </c>
    </row>
    <row r="13" spans="1:5" x14ac:dyDescent="0.2">
      <c r="D13" t="s">
        <v>166</v>
      </c>
      <c r="E13" s="218">
        <v>51.887597525844605</v>
      </c>
    </row>
    <row r="14" spans="1:5" x14ac:dyDescent="0.2">
      <c r="D14" t="s">
        <v>167</v>
      </c>
      <c r="E14" s="218">
        <v>71.760180053907348</v>
      </c>
    </row>
    <row r="15" spans="1:5" x14ac:dyDescent="0.2">
      <c r="D15" t="s">
        <v>113</v>
      </c>
      <c r="E15" s="218">
        <v>124.29775414699418</v>
      </c>
    </row>
    <row r="16" spans="1:5" x14ac:dyDescent="0.2">
      <c r="D16" t="s">
        <v>114</v>
      </c>
      <c r="E16" s="218">
        <v>240.64238412471565</v>
      </c>
    </row>
    <row r="17" spans="1:6" x14ac:dyDescent="0.2">
      <c r="D17" t="s">
        <v>115</v>
      </c>
      <c r="E17" s="218">
        <v>322.89636076464552</v>
      </c>
    </row>
    <row r="20" spans="1:6" x14ac:dyDescent="0.2">
      <c r="A20" s="246" t="s">
        <v>177</v>
      </c>
      <c r="D20" t="s">
        <v>98</v>
      </c>
      <c r="E20" t="s">
        <v>178</v>
      </c>
      <c r="F20" s="247" t="s">
        <v>103</v>
      </c>
    </row>
    <row r="21" spans="1:6" x14ac:dyDescent="0.2">
      <c r="D21" t="s">
        <v>164</v>
      </c>
      <c r="E21" s="213">
        <v>4.8260383171719514</v>
      </c>
      <c r="F21" s="213" t="e">
        <f>NA()</f>
        <v>#N/A</v>
      </c>
    </row>
    <row r="22" spans="1:6" x14ac:dyDescent="0.2">
      <c r="D22" t="s">
        <v>165</v>
      </c>
      <c r="E22" s="213">
        <v>2.3828250180465824</v>
      </c>
      <c r="F22" s="213" t="e">
        <f>NA()</f>
        <v>#N/A</v>
      </c>
    </row>
    <row r="23" spans="1:6" x14ac:dyDescent="0.2">
      <c r="D23" t="s">
        <v>166</v>
      </c>
      <c r="E23" s="213">
        <v>2.4395026526618975</v>
      </c>
      <c r="F23" s="213">
        <f>AdditionalCapitation1819!X50</f>
        <v>1.97172456426655</v>
      </c>
    </row>
    <row r="24" spans="1:6" x14ac:dyDescent="0.2">
      <c r="D24" t="s">
        <v>167</v>
      </c>
      <c r="E24" s="213">
        <v>3.0803720898157572</v>
      </c>
      <c r="F24" s="213">
        <f>AdditionalCapitation1819!X51</f>
        <v>1.9717245642665497</v>
      </c>
    </row>
    <row r="25" spans="1:6" x14ac:dyDescent="0.2">
      <c r="D25" t="s">
        <v>113</v>
      </c>
      <c r="E25" s="213">
        <v>3.2787820953842139</v>
      </c>
      <c r="F25" s="213">
        <f>AdditionalCapitation1819!X52</f>
        <v>2.9608939969665684</v>
      </c>
    </row>
    <row r="26" spans="1:6" x14ac:dyDescent="0.2">
      <c r="D26" t="s">
        <v>114</v>
      </c>
      <c r="E26" s="213">
        <v>4.053726384726585</v>
      </c>
      <c r="F26" s="213">
        <f>AdditionalCapitation1819!X53</f>
        <v>4.6315624200217229</v>
      </c>
    </row>
    <row r="27" spans="1:6" x14ac:dyDescent="0.2">
      <c r="D27" t="s">
        <v>115</v>
      </c>
      <c r="E27" s="213">
        <v>5.8190335568195701</v>
      </c>
      <c r="F27" s="213">
        <f>AdditionalCapitation1819!X54</f>
        <v>6.5147183462456448</v>
      </c>
    </row>
    <row r="29" spans="1:6" x14ac:dyDescent="0.2">
      <c r="A29" s="246" t="s">
        <v>179</v>
      </c>
      <c r="D29" t="s">
        <v>98</v>
      </c>
      <c r="E29" s="247" t="s">
        <v>180</v>
      </c>
    </row>
    <row r="30" spans="1:6" x14ac:dyDescent="0.2">
      <c r="D30" t="s">
        <v>164</v>
      </c>
      <c r="E30" s="218">
        <v>449.8884456279676</v>
      </c>
    </row>
    <row r="31" spans="1:6" x14ac:dyDescent="0.2">
      <c r="D31" t="s">
        <v>165</v>
      </c>
      <c r="E31" s="218">
        <v>125.62550765507245</v>
      </c>
    </row>
    <row r="32" spans="1:6" x14ac:dyDescent="0.2">
      <c r="D32" t="s">
        <v>166</v>
      </c>
      <c r="E32" s="218">
        <v>118.12191740758844</v>
      </c>
    </row>
    <row r="33" spans="4:5" x14ac:dyDescent="0.2">
      <c r="D33" t="s">
        <v>167</v>
      </c>
      <c r="E33" s="218">
        <v>116.96525804387629</v>
      </c>
    </row>
    <row r="34" spans="4:5" x14ac:dyDescent="0.2">
      <c r="D34" t="s">
        <v>113</v>
      </c>
      <c r="E34" s="218">
        <v>109.58653944709052</v>
      </c>
    </row>
    <row r="35" spans="4:5" x14ac:dyDescent="0.2">
      <c r="D35" t="s">
        <v>114</v>
      </c>
      <c r="E35" s="218">
        <v>158.77505771634986</v>
      </c>
    </row>
    <row r="36" spans="4:5" x14ac:dyDescent="0.2">
      <c r="D36" t="s">
        <v>115</v>
      </c>
      <c r="E36" s="218">
        <v>292.11005390443046</v>
      </c>
    </row>
  </sheetData>
  <sheetProtection algorithmName="SHA-512" hashValue="YdHjsAmSabNGY5qJ1Q6DxC3KsderIaItyKQeJU9pKwEgMfEgBu+uelOUdq2H3eCKrt7y8hxhzqrYw0Cu5Z4BHA==" saltValue="5zWEfMlhRRRDAHRiWfGGOg==" spinCount="100000" sheet="1" objects="1" scenarios="1"/>
  <dataValidations count="1">
    <dataValidation type="list" allowBlank="1" showInputMessage="1" showErrorMessage="1" errorTitle="Include Top Up Capitation" error="Must be Yes or No." promptTitle="Include Top Up Capitation" prompt="Yes to Include the top up capitation in the template, No to exclude them." sqref="B2" xr:uid="{00000000-0002-0000-0400-000000000000}">
      <formula1>"Yes,No"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UNCLASSIFIED&amp;1#_x000D_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53c88c-d550-4ff1-afdc-d5dc691f60b0">
      <Value>2</Value>
      <Value>3</Value>
    </TaxCatchAll>
    <k9ee5ef6bc1b44e9b6cac8d49fc01329 xmlns="9253c88c-d550-4ff1-afdc-d5dc691f60b0">
      <Terms xmlns="http://schemas.microsoft.com/office/infopath/2007/PartnerControls"/>
    </k9ee5ef6bc1b44e9b6cac8d49fc01329>
    <mb22360ee3e3407ca28e907eb3b7ca6b xmlns="9253c88c-d550-4ff1-afdc-d5dc691f60b0" xsi:nil="true"/>
    <ka9b207035bc48f2a4f6a2bfed7195b7 xmlns="9253c88c-d550-4ff1-afdc-d5dc691f60b0" xsi:nil="true"/>
    <ld9a3a592f8646249650a4bef9865698 xmlns="9253c88c-d550-4ff1-afdc-d5dc691f60b0">
      <Terms xmlns="http://schemas.microsoft.com/office/infopath/2007/PartnerControls"/>
    </ld9a3a592f8646249650a4bef9865698>
    <p7110e5651294189b89368865130750f xmlns="9253c88c-d550-4ff1-afdc-d5dc691f60b0" xsi:nil="true"/>
    <_dlc_DocId xmlns="1648de66-f3f9-4d4b-aae7-60266db04554">1000205-1572720606-85053</_dlc_DocId>
    <_dlc_DocIdUrl xmlns="1648de66-f3f9-4d4b-aae7-60266db04554">
      <Url>https://hauoraaotearoa.sharepoint.com/sites/1000205/_layouts/15/DocIdRedir.aspx?ID=1000205-1572720606-85053</Url>
      <Description>1000205-1572720606-85053</Description>
    </_dlc_DocIdUrl>
    <HNZReviewDate xmlns="9253c88c-d550-4ff1-afdc-d5dc691f60b0" xsi:nil="true"/>
    <HNZOwner xmlns="7c3935ea-b804-4422-a480-ea607dd1238f">
      <UserInfo>
        <DisplayName/>
        <AccountId xsi:nil="true"/>
        <AccountType/>
      </UserInfo>
    </HNZOwner>
    <p777f0da518742b188a1f7fd5ee91810 xmlns="7c3935ea-b804-4422-a480-ea607dd1238f" xsi:nil="true"/>
    <f3e7f0a218d8438586e2a8545792c0ef xmlns="7c3935ea-b804-4422-a480-ea607dd1238f">
      <Terms xmlns="http://schemas.microsoft.com/office/infopath/2007/PartnerControls"/>
    </f3e7f0a218d8438586e2a8545792c0e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ikau Commissioning doc" ma:contentTypeID="0x010100D5C1E13D20A8554992C24F7EE470E0230200EB08A956379B234BAA190B618FD43420" ma:contentTypeVersion="19" ma:contentTypeDescription="" ma:contentTypeScope="" ma:versionID="47e3088792aed61884185750855f1cb5">
  <xsd:schema xmlns:xsd="http://www.w3.org/2001/XMLSchema" xmlns:xs="http://www.w3.org/2001/XMLSchema" xmlns:p="http://schemas.microsoft.com/office/2006/metadata/properties" xmlns:ns1="http://schemas.microsoft.com/sharepoint/v3" xmlns:ns2="9253c88c-d550-4ff1-afdc-d5dc691f60b0" xmlns:ns3="7c3935ea-b804-4422-a480-ea607dd1238f" xmlns:ns4="1648de66-f3f9-4d4b-aae7-60266db04554" targetNamespace="http://schemas.microsoft.com/office/2006/metadata/properties" ma:root="true" ma:fieldsID="204807b35e57e20becdce7189d4a8b2c" ns1:_="" ns2:_="" ns3:_="" ns4:_="">
    <xsd:import namespace="http://schemas.microsoft.com/sharepoint/v3"/>
    <xsd:import namespace="9253c88c-d550-4ff1-afdc-d5dc691f60b0"/>
    <xsd:import namespace="7c3935ea-b804-4422-a480-ea607dd1238f"/>
    <xsd:import namespace="1648de66-f3f9-4d4b-aae7-60266db04554"/>
    <xsd:element name="properties">
      <xsd:complexType>
        <xsd:sequence>
          <xsd:element name="documentManagement">
            <xsd:complexType>
              <xsd:all>
                <xsd:element ref="ns3:HNZOwner" minOccurs="0"/>
                <xsd:element ref="ns2:HNZReviewDate" minOccurs="0"/>
                <xsd:element ref="ns1:Name" minOccurs="0"/>
                <xsd:element ref="ns3:f3e7f0a218d8438586e2a8545792c0ef" minOccurs="0"/>
                <xsd:element ref="ns2:mb22360ee3e3407ca28e907eb3b7ca6b" minOccurs="0"/>
                <xsd:element ref="ns2:p7110e5651294189b89368865130750f" minOccurs="0"/>
                <xsd:element ref="ns3:p777f0da518742b188a1f7fd5ee91810" minOccurs="0"/>
                <xsd:element ref="ns2:TaxCatchAll" minOccurs="0"/>
                <xsd:element ref="ns3:TaxCatchAllLabel" minOccurs="0"/>
                <xsd:element ref="ns2:ld9a3a592f8646249650a4bef9865698" minOccurs="0"/>
                <xsd:element ref="ns2:k9ee5ef6bc1b44e9b6cac8d49fc01329" minOccurs="0"/>
                <xsd:element ref="ns2:ka9b207035bc48f2a4f6a2bfed7195b7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ame" ma:index="12" nillable="true" ma:displayName="Account" ma:internalName="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HNZReviewDate" ma:index="8" nillable="true" ma:displayName="Review Date" ma:description="Review Date for content" ma:format="DateOnly" ma:internalName="HNZReviewDate">
      <xsd:simpleType>
        <xsd:restriction base="dms:DateTime"/>
      </xsd:simpleType>
    </xsd:element>
    <xsd:element name="mb22360ee3e3407ca28e907eb3b7ca6b" ma:index="15" nillable="true" ma:displayName="Status_0" ma:hidden="true" ma:internalName="mb22360ee3e3407ca28e907eb3b7ca6b">
      <xsd:simpleType>
        <xsd:restriction base="dms:Note"/>
      </xsd:simpleType>
    </xsd:element>
    <xsd:element name="p7110e5651294189b89368865130750f" ma:index="18" nillable="true" ma:displayName="Region_0" ma:hidden="true" ma:internalName="p7110e5651294189b89368865130750f">
      <xsd:simpleType>
        <xsd:restriction base="dms:Note"/>
      </xsd:simpleType>
    </xsd:element>
    <xsd:element name="TaxCatchAll" ma:index="21" nillable="true" ma:displayName="Taxonomy Catch All Column" ma:description="" ma:hidden="true" ma:list="{0fd8053b-0874-47de-b4a1-e474eba2a82e}" ma:internalName="TaxCatchAll" ma:showField="CatchAllData" ma:web="1648de66-f3f9-4d4b-aae7-60266db04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d9a3a592f8646249650a4bef9865698" ma:index="23" nillable="true" ma:taxonomy="true" ma:internalName="ld9a3a592f8646249650a4bef9865698" ma:taxonomyFieldName="HNZLifeCourse" ma:displayName="Life Course" ma:default="" ma:fieldId="{5d9a3a59-2f86-4624-9650-a4bef9865698}" ma:sspId="ebf29b3f-1e51-457b-ae0c-362182e58074" ma:termSetId="0169363d-568c-49d1-97f7-70f864656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ee5ef6bc1b44e9b6cac8d49fc01329" ma:index="25" nillable="true" ma:taxonomy="true" ma:internalName="k9ee5ef6bc1b44e9b6cac8d49fc01329" ma:taxonomyFieldName="HNZWorkProgramme" ma:displayName="Work Programme" ma:default="" ma:fieldId="{49ee5ef6-bc1b-44e9-b6ca-c8d49fc01329}" ma:sspId="ebf29b3f-1e51-457b-ae0c-362182e58074" ma:termSetId="207cc5bd-2831-4669-8c4c-50741a791e51" ma:anchorId="c8160808-572d-4b75-bf33-72960d713893" ma:open="false" ma:isKeyword="false">
      <xsd:complexType>
        <xsd:sequence>
          <xsd:element ref="pc:Terms" minOccurs="0" maxOccurs="1"/>
        </xsd:sequence>
      </xsd:complexType>
    </xsd:element>
    <xsd:element name="ka9b207035bc48f2a4f6a2bfed7195b7" ma:index="26" nillable="true" ma:displayName="Business Function_0" ma:hidden="true" ma:internalName="ka9b207035bc48f2a4f6a2bfed7195b7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35ea-b804-4422-a480-ea607dd1238f" elementFormDefault="qualified">
    <xsd:import namespace="http://schemas.microsoft.com/office/2006/documentManagement/types"/>
    <xsd:import namespace="http://schemas.microsoft.com/office/infopath/2007/PartnerControls"/>
    <xsd:element name="HNZOwner" ma:index="7" nillable="true" ma:displayName="Owner" ma:internalName="HNZ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3e7f0a218d8438586e2a8545792c0ef" ma:index="13" nillable="true" ma:taxonomy="true" ma:internalName="f3e7f0a218d8438586e2a8545792c0ef" ma:taxonomyFieldName="HNZTopic" ma:displayName="Topic" ma:default="" ma:fieldId="{f3e7f0a2-18d8-4385-86e2-a8545792c0ef}" ma:taxonomyMulti="true" ma:sspId="ebf29b3f-1e51-457b-ae0c-362182e58074" ma:termSetId="6fc62df7-d99b-474b-a41d-6809563661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777f0da518742b188a1f7fd5ee91810" ma:index="20" nillable="true" ma:displayName="Local Area_0" ma:hidden="true" ma:internalName="p777f0da518742b188a1f7fd5ee91810">
      <xsd:simpleType>
        <xsd:restriction base="dms:Note"/>
      </xsd:simpleType>
    </xsd:element>
    <xsd:element name="TaxCatchAllLabel" ma:index="22" nillable="true" ma:displayName="Taxonomy Catch All Column1" ma:hidden="true" ma:list="{0fd8053b-0874-47de-b4a1-e474eba2a82e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ebf29b3f-1e51-457b-ae0c-362182e58074" ContentTypeId="0x010100D5C1E13D20A8554992C24F7EE470E023" PreviousValue="false"/>
</file>

<file path=customXml/itemProps1.xml><?xml version="1.0" encoding="utf-8"?>
<ds:datastoreItem xmlns:ds="http://schemas.openxmlformats.org/officeDocument/2006/customXml" ds:itemID="{FEAB3E94-C27D-4E6D-BDE3-92FB3FCF08A1}">
  <ds:schemaRefs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2006/documentManagement/types"/>
    <ds:schemaRef ds:uri="e9f0c186-92ea-4dfc-a694-a9b8a7eb4cc7"/>
    <ds:schemaRef ds:uri="http://schemas.microsoft.com/office/2006/metadata/properties"/>
    <ds:schemaRef ds:uri="http://purl.org/dc/dcmitype/"/>
    <ds:schemaRef ds:uri="http://www.w3.org/XML/1998/namespace"/>
    <ds:schemaRef ds:uri="1648de66-f3f9-4d4b-aae7-60266db04554"/>
    <ds:schemaRef ds:uri="http://schemas.microsoft.com/office/infopath/2007/PartnerControls"/>
    <ds:schemaRef ds:uri="9253c88c-d550-4ff1-afdc-d5dc691f60b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85210D-AE56-40A3-A825-E78AD6195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54028B-AF69-4463-A0C0-0F8CEBCB7F1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988A684-71E7-472E-AC52-55D8EABA6689}"/>
</file>

<file path=customXml/itemProps5.xml><?xml version="1.0" encoding="utf-8"?>
<ds:datastoreItem xmlns:ds="http://schemas.openxmlformats.org/officeDocument/2006/customXml" ds:itemID="{68108C58-7249-4716-B0FD-87C3DEFE2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Revenue Split</vt:lpstr>
      <vt:lpstr>Annual Statement Summary</vt:lpstr>
      <vt:lpstr>Co-payment Template</vt:lpstr>
      <vt:lpstr>AdditionalCapitation1819</vt:lpstr>
      <vt:lpstr>Parameters</vt:lpstr>
      <vt:lpstr>CopaymentGSTRate</vt:lpstr>
      <vt:lpstr>DefaultCapitationContribution</vt:lpstr>
      <vt:lpstr>DefaultCopaymentContribution</vt:lpstr>
      <vt:lpstr>IncludeTopUp</vt:lpstr>
      <vt:lpstr>MaxCSCFee_Adult</vt:lpstr>
      <vt:lpstr>MaxCSCFee_Youth</vt:lpstr>
      <vt:lpstr>PracticeType</vt:lpstr>
      <vt:lpstr>PreviousGSTRate</vt:lpstr>
      <vt:lpstr>'Annual Statement Summary'!Print_Area</vt:lpstr>
      <vt:lpstr>'Co-payment Template'!Print_Area</vt:lpstr>
      <vt:lpstr>'Revenue Split'!Print_Area</vt:lpstr>
      <vt:lpstr>UtilisationRateOption</vt:lpstr>
    </vt:vector>
  </TitlesOfParts>
  <Manager/>
  <Company>LECG,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Hope</dc:creator>
  <cp:keywords/>
  <dc:description/>
  <cp:lastModifiedBy>Harnish Jariwala</cp:lastModifiedBy>
  <cp:revision/>
  <dcterms:created xsi:type="dcterms:W3CDTF">2006-12-15T01:02:58Z</dcterms:created>
  <dcterms:modified xsi:type="dcterms:W3CDTF">2024-07-22T00:51:09Z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0x010100D5C1E13D20A8554992C24F7EE470E0230200EB08A956379B234BAA190B618FD43420</vt:lpwstr>
  </property>
  <property fmtid="{D5CDD505-2E9C-101B-9397-08002B2CF9AE}" pid="3" name="Order">
    <vt:r8>100</vt:r8>
  </property>
  <property fmtid="{D5CDD505-2E9C-101B-9397-08002B2CF9AE}" pid="4" name="MSIP_Label_96de0340-1b79-4219-98d1-80f4121fcf17_Enabled">
    <vt:lpwstr>true</vt:lpwstr>
  </property>
  <property fmtid="{D5CDD505-2E9C-101B-9397-08002B2CF9AE}" pid="5" name="MSIP_Label_96de0340-1b79-4219-98d1-80f4121fcf17_SetDate">
    <vt:lpwstr>2022-06-15T01:25:13Z</vt:lpwstr>
  </property>
  <property fmtid="{D5CDD505-2E9C-101B-9397-08002B2CF9AE}" pid="6" name="MSIP_Label_96de0340-1b79-4219-98d1-80f4121fcf17_Method">
    <vt:lpwstr>Privileged</vt:lpwstr>
  </property>
  <property fmtid="{D5CDD505-2E9C-101B-9397-08002B2CF9AE}" pid="7" name="MSIP_Label_96de0340-1b79-4219-98d1-80f4121fcf17_Name">
    <vt:lpwstr>UNCLASSIFIED</vt:lpwstr>
  </property>
  <property fmtid="{D5CDD505-2E9C-101B-9397-08002B2CF9AE}" pid="8" name="MSIP_Label_96de0340-1b79-4219-98d1-80f4121fcf17_SiteId">
    <vt:lpwstr>0051ec7f-c4f5-41e6-b397-24b855b2a57e</vt:lpwstr>
  </property>
  <property fmtid="{D5CDD505-2E9C-101B-9397-08002B2CF9AE}" pid="9" name="MSIP_Label_96de0340-1b79-4219-98d1-80f4121fcf17_ActionId">
    <vt:lpwstr>06168966-872a-4fb7-89e2-5d8034b6249d</vt:lpwstr>
  </property>
  <property fmtid="{D5CDD505-2E9C-101B-9397-08002B2CF9AE}" pid="10" name="MSIP_Label_96de0340-1b79-4219-98d1-80f4121fcf17_ContentBits">
    <vt:lpwstr>1</vt:lpwstr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  <property fmtid="{D5CDD505-2E9C-101B-9397-08002B2CF9AE}" pid="18" name="ka9b207035bc48f2a4f6a2bfed7195b70">
    <vt:lpwstr>Commissioning|15b5b4c6-5772-46c7-92cb-dbba43ced6f6</vt:lpwstr>
  </property>
  <property fmtid="{D5CDD505-2E9C-101B-9397-08002B2CF9AE}" pid="19" name="mb22360ee3e3407ca28e907eb3b7ca6b0">
    <vt:lpwstr>Draft|4dbd6f0d-7021-43d2-a391-03666245495e</vt:lpwstr>
  </property>
  <property fmtid="{D5CDD505-2E9C-101B-9397-08002B2CF9AE}" pid="20" name="BusinessFunction">
    <vt:lpwstr>3;#Commissioning|15b5b4c6-5772-46c7-92cb-dbba43ced6f6</vt:lpwstr>
  </property>
  <property fmtid="{D5CDD505-2E9C-101B-9397-08002B2CF9AE}" pid="21" name="HNZStatus">
    <vt:lpwstr>2;#Draft|4dbd6f0d-7021-43d2-a391-03666245495e</vt:lpwstr>
  </property>
  <property fmtid="{D5CDD505-2E9C-101B-9397-08002B2CF9AE}" pid="22" name="_dlc_DocIdItemGuid">
    <vt:lpwstr>628c3fc5-afe4-4b40-9ba4-f03ac054b9a9</vt:lpwstr>
  </property>
  <property fmtid="{D5CDD505-2E9C-101B-9397-08002B2CF9AE}" pid="23" name="p777f0da518742b188a1f7fd5ee918100">
    <vt:lpwstr/>
  </property>
  <property fmtid="{D5CDD505-2E9C-101B-9397-08002B2CF9AE}" pid="24" name="f3e7f0a218d8438586e2a8545792c0ef0">
    <vt:lpwstr/>
  </property>
  <property fmtid="{D5CDD505-2E9C-101B-9397-08002B2CF9AE}" pid="25" name="b129038a2c8d4de88edfb48f2f360037">
    <vt:lpwstr/>
  </property>
  <property fmtid="{D5CDD505-2E9C-101B-9397-08002B2CF9AE}" pid="26" name="Life_x0020_Course">
    <vt:lpwstr/>
  </property>
  <property fmtid="{D5CDD505-2E9C-101B-9397-08002B2CF9AE}" pid="27" name="p7110e5651294189b89368865130750f0">
    <vt:lpwstr/>
  </property>
  <property fmtid="{D5CDD505-2E9C-101B-9397-08002B2CF9AE}" pid="28" name="Work_x0020_Programme">
    <vt:lpwstr/>
  </property>
  <property fmtid="{D5CDD505-2E9C-101B-9397-08002B2CF9AE}" pid="29" name="HNZLocalArea">
    <vt:lpwstr/>
  </property>
  <property fmtid="{D5CDD505-2E9C-101B-9397-08002B2CF9AE}" pid="30" name="HNZLifeCourse">
    <vt:lpwstr/>
  </property>
  <property fmtid="{D5CDD505-2E9C-101B-9397-08002B2CF9AE}" pid="31" name="HNZWorkProgramme">
    <vt:lpwstr/>
  </property>
  <property fmtid="{D5CDD505-2E9C-101B-9397-08002B2CF9AE}" pid="32" name="HNZRegion">
    <vt:lpwstr/>
  </property>
  <property fmtid="{D5CDD505-2E9C-101B-9397-08002B2CF9AE}" pid="33" name="n7550351343a46f2a8525b73f60545f8">
    <vt:lpwstr/>
  </property>
  <property fmtid="{D5CDD505-2E9C-101B-9397-08002B2CF9AE}" pid="34" name="lcf76f155ced4ddcb4097134ff3c332f">
    <vt:lpwstr/>
  </property>
  <property fmtid="{D5CDD505-2E9C-101B-9397-08002B2CF9AE}" pid="35" name="HNZTopic">
    <vt:lpwstr/>
  </property>
  <property fmtid="{D5CDD505-2E9C-101B-9397-08002B2CF9AE}" pid="36" name="Work Programme">
    <vt:lpwstr/>
  </property>
  <property fmtid="{D5CDD505-2E9C-101B-9397-08002B2CF9AE}" pid="37" name="Life Course">
    <vt:lpwstr/>
  </property>
</Properties>
</file>